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010" tabRatio="803" activeTab="0"/>
  </bookViews>
  <sheets>
    <sheet name="Composite" sheetId="1" r:id="rId1"/>
    <sheet name="GenCharts" sheetId="2" r:id="rId2"/>
    <sheet name="ExportCharts" sheetId="3" r:id="rId3"/>
    <sheet name="2004" sheetId="4" r:id="rId4"/>
    <sheet name="2005" sheetId="5" r:id="rId5"/>
    <sheet name="2006" sheetId="6" r:id="rId6"/>
    <sheet name="Overlay" sheetId="7" r:id="rId7"/>
    <sheet name="Energy07" sheetId="8" r:id="rId8"/>
    <sheet name="BaseRevReq&amp;CO2cap" sheetId="9" r:id="rId9"/>
    <sheet name="CO2freeAllow" sheetId="10" r:id="rId10"/>
  </sheets>
  <externalReferences>
    <externalReference r:id="rId13"/>
  </externalReferences>
  <definedNames>
    <definedName name="Net_Generation_by_State__Type_1">#REF!</definedName>
    <definedName name="Net_Generation_by_State__Type_of_Producer__Energy_Source" localSheetId="7">'Energy07'!$A$2:$E$2</definedName>
    <definedName name="_xlnm.Print_Area" localSheetId="0">'Composite'!$B$1:$H$71</definedName>
    <definedName name="_xlnm.Print_Area" localSheetId="7">'Energy07'!$A$1:$V$46</definedName>
    <definedName name="_xlnm.Print_Titles" localSheetId="0">'Composite'!$1:$3</definedName>
    <definedName name="_xlnm.Print_Titles" localSheetId="7">'Energy07'!$2:$2</definedName>
  </definedNames>
  <calcPr fullCalcOnLoad="1"/>
</workbook>
</file>

<file path=xl/comments9.xml><?xml version="1.0" encoding="utf-8"?>
<comments xmlns="http://schemas.openxmlformats.org/spreadsheetml/2006/main">
  <authors>
    <author>Douglas R. Kallesen</author>
  </authors>
  <commentList>
    <comment ref="C18" authorId="0">
      <text>
        <r>
          <rPr>
            <b/>
            <sz val="8"/>
            <rFont val="Tahoma"/>
            <family val="2"/>
          </rPr>
          <t>Douglas R. Kallesen:</t>
        </r>
        <r>
          <rPr>
            <sz val="8"/>
            <rFont val="Tahoma"/>
            <family val="2"/>
          </rPr>
          <t xml:space="preserve">
from TRC4, item 3c</t>
        </r>
      </text>
    </comment>
    <comment ref="C19" authorId="0">
      <text>
        <r>
          <rPr>
            <b/>
            <sz val="8"/>
            <rFont val="Tahoma"/>
            <family val="2"/>
          </rPr>
          <t>Douglas R. Kallesen:</t>
        </r>
        <r>
          <rPr>
            <sz val="8"/>
            <rFont val="Tahoma"/>
            <family val="2"/>
          </rPr>
          <t xml:space="preserve">
from TRC4, item 3c</t>
        </r>
      </text>
    </comment>
  </commentList>
</comments>
</file>

<file path=xl/sharedStrings.xml><?xml version="1.0" encoding="utf-8"?>
<sst xmlns="http://schemas.openxmlformats.org/spreadsheetml/2006/main" count="689" uniqueCount="362">
  <si>
    <t>Scenario 1</t>
  </si>
  <si>
    <t>Current Situation</t>
  </si>
  <si>
    <t>10%-2006 pattern</t>
  </si>
  <si>
    <t>20%-2006 pattern</t>
  </si>
  <si>
    <t>40%-2006 pattern</t>
  </si>
  <si>
    <t>2008????</t>
  </si>
  <si>
    <t>Nameplate Wind Gen (MW)</t>
  </si>
  <si>
    <t>Wind Generation (GWh)</t>
  </si>
  <si>
    <t>Average (for all) Size Modeled (MW)</t>
  </si>
  <si>
    <t xml:space="preserve">Cap Accred by farm (SPP rule, MW) </t>
  </si>
  <si>
    <t>Cap Accred applied to Aggregate (SPP rule, MW)</t>
  </si>
  <si>
    <t>0.06% - 1.94%</t>
  </si>
  <si>
    <t>0.06%-2.41%</t>
  </si>
  <si>
    <t>Table 1 of main body, 12-09-09</t>
  </si>
  <si>
    <t>Tables 20, 21, 22 of Section 8.2, 12-09-09, min of July/Aug</t>
  </si>
  <si>
    <t>Table 23 of Section 8.2, 12-09-09, min of July/Aug</t>
  </si>
  <si>
    <t>Tables 9, 10, 11 of Section 8.2, 12-09-09</t>
  </si>
  <si>
    <t>Wind Capacity Factor (annual, %)</t>
  </si>
  <si>
    <t>10%-2004 pattern</t>
  </si>
  <si>
    <t>20%-2004 pattern</t>
  </si>
  <si>
    <t>40%-2004 pattern</t>
  </si>
  <si>
    <t>10%-2005 pattern</t>
  </si>
  <si>
    <t>20%-2005 pattern</t>
  </si>
  <si>
    <t>40%-2005 pattern</t>
  </si>
  <si>
    <t>10%-Composite</t>
  </si>
  <si>
    <t>20%-Composite</t>
  </si>
  <si>
    <t>40%-Composite</t>
  </si>
  <si>
    <t>NA</t>
  </si>
  <si>
    <t>Average of three years</t>
  </si>
  <si>
    <t>Calculated</t>
  </si>
  <si>
    <t>acres distrurbed per MW assumption (from LR83 paper, Topic 4, page 4, June 09)</t>
  </si>
  <si>
    <t>acres lease per MW assumption (from LR83 paper, Topic 4, page 4, June 09)</t>
  </si>
  <si>
    <t>MW size assumption (from LR83 paper, Topic 4, page 4, June 09)</t>
  </si>
  <si>
    <t>per MWh of wind generation for purchase cost in 2009$</t>
  </si>
  <si>
    <t>Sources and Assumptions</t>
  </si>
  <si>
    <t>NPA-NREL Wind Integration Study</t>
  </si>
  <si>
    <t>Estimation of Overlay Miles</t>
  </si>
  <si>
    <t>765kV Base Overlay</t>
  </si>
  <si>
    <t>345kV Neb Only</t>
  </si>
  <si>
    <t>Involving Nebraska</t>
  </si>
  <si>
    <t>Rough Est Miles</t>
  </si>
  <si>
    <t xml:space="preserve">           (in 20% sensitivity substitutes for Neb 765kV)</t>
  </si>
  <si>
    <t>GNTLM765</t>
  </si>
  <si>
    <t>KNOLL765</t>
  </si>
  <si>
    <t>CHERY765</t>
  </si>
  <si>
    <t>Axtell345</t>
  </si>
  <si>
    <t>Gntlmn345</t>
  </si>
  <si>
    <t>RAUN765</t>
  </si>
  <si>
    <t>Chery345</t>
  </si>
  <si>
    <t>COOPR765</t>
  </si>
  <si>
    <t>Hskns345</t>
  </si>
  <si>
    <t>IATAN765</t>
  </si>
  <si>
    <t>FtCtClhn345</t>
  </si>
  <si>
    <t>involving Neb--&gt;</t>
  </si>
  <si>
    <t>Not involving Neb</t>
  </si>
  <si>
    <t>WICHI765</t>
  </si>
  <si>
    <t>COMAN765</t>
  </si>
  <si>
    <t>WOFCK765</t>
  </si>
  <si>
    <t>SWISS765</t>
  </si>
  <si>
    <t>SEMIN765</t>
  </si>
  <si>
    <t>L.E.S765</t>
  </si>
  <si>
    <t>MUSKO765</t>
  </si>
  <si>
    <t>STLIN765</t>
  </si>
  <si>
    <t>MOORL765</t>
  </si>
  <si>
    <t>LACYG765</t>
  </si>
  <si>
    <t>SPRVL765</t>
  </si>
  <si>
    <t>FINNY765</t>
  </si>
  <si>
    <t>HCHLD765</t>
  </si>
  <si>
    <t>TUCO 765</t>
  </si>
  <si>
    <t>FRANK765</t>
  </si>
  <si>
    <t>FTSMT765</t>
  </si>
  <si>
    <t>rest of SPP</t>
  </si>
  <si>
    <t>SPP incl Neb</t>
  </si>
  <si>
    <r>
      <rPr>
        <b/>
        <sz val="10"/>
        <color indexed="8"/>
        <rFont val="Arial"/>
        <family val="2"/>
      </rPr>
      <t>345kV</t>
    </r>
    <r>
      <rPr>
        <sz val="10"/>
        <color theme="1"/>
        <rFont val="Arial"/>
        <family val="2"/>
      </rPr>
      <t xml:space="preserve"> incremental part of Base Overlay </t>
    </r>
  </si>
  <si>
    <t>(if any-not including lines in the 10%  and 20% w/o overlay cases)</t>
  </si>
  <si>
    <t>NONE</t>
  </si>
  <si>
    <t>involving Neb</t>
  </si>
  <si>
    <t>Tuco345</t>
  </si>
  <si>
    <t>Potter345</t>
  </si>
  <si>
    <t>PleasHill345</t>
  </si>
  <si>
    <t>MariDelta345</t>
  </si>
  <si>
    <t>Nebraska Portion</t>
  </si>
  <si>
    <t>20% with</t>
  </si>
  <si>
    <t>40% with</t>
  </si>
  <si>
    <t>Neb Investment 09M$</t>
  </si>
  <si>
    <t>Neb Annual CC 09M$</t>
  </si>
  <si>
    <t>-----------765kV---------</t>
  </si>
  <si>
    <t>----other lower voltage</t>
  </si>
  <si>
    <t>of wind generation cost</t>
  </si>
  <si>
    <t xml:space="preserve">          Annual 09M$</t>
  </si>
  <si>
    <t xml:space="preserve">          Investment 09M$</t>
  </si>
  <si>
    <t>100% / 8%</t>
  </si>
  <si>
    <t>Substations-overlay</t>
  </si>
  <si>
    <t>Neb 765kV miles-overlay</t>
  </si>
  <si>
    <t>of overlay line cost</t>
  </si>
  <si>
    <t>million per mile -composite</t>
  </si>
  <si>
    <t>Axtell-Knoll 345kV</t>
  </si>
  <si>
    <t xml:space="preserve">          miles</t>
  </si>
  <si>
    <t xml:space="preserve">          sub-investment 09$</t>
  </si>
  <si>
    <t xml:space="preserve">         sub-annual 09$</t>
  </si>
  <si>
    <t>TOTAL Miles</t>
  </si>
  <si>
    <t>TOTAL Annual Cost in 09M$</t>
  </si>
  <si>
    <t>TOTAL Investment Cost in 09M$</t>
  </si>
  <si>
    <t xml:space="preserve">         miles (composite)</t>
  </si>
  <si>
    <t>Local Trans (line &amp; sub) - Neb 115kV/345kV  lines</t>
  </si>
  <si>
    <t>New Transmission Miles</t>
  </si>
  <si>
    <t>Annual Cost for New Transmission in Millions of 2009$</t>
  </si>
  <si>
    <t>Investment Cost for New Transmission in Millions of 2009$</t>
  </si>
  <si>
    <t>per kW assumption for 2009 (from LR83 paper, Topic 4, page 4, June 09)</t>
  </si>
  <si>
    <t>Approx Investment Cost for Wind Generation Developer in Millions of 2009$</t>
  </si>
  <si>
    <t>Coal</t>
  </si>
  <si>
    <t>Nuclear</t>
  </si>
  <si>
    <t xml:space="preserve">     Coal</t>
  </si>
  <si>
    <t xml:space="preserve">     Nuclear</t>
  </si>
  <si>
    <t>Nebraska Generation (GWh)</t>
  </si>
  <si>
    <r>
      <t xml:space="preserve">State Historical Tables for 2007
Released: January 29, 2009
Next Update: October 2009                                                                                                                   </t>
    </r>
    <r>
      <rPr>
        <sz val="10"/>
        <rFont val="Arial"/>
        <family val="2"/>
      </rPr>
      <t xml:space="preserve">DOE-EIA data source is http://www.eia.doe.gov/cneaf/electricity/epa/generation_state.xls </t>
    </r>
  </si>
  <si>
    <t>Alternative Chart for Website</t>
  </si>
  <si>
    <t>YEAR</t>
  </si>
  <si>
    <t>STATE</t>
  </si>
  <si>
    <t>TYPE OF PRODUCER</t>
  </si>
  <si>
    <t>ENERGY SOURCE</t>
  </si>
  <si>
    <t>GENERATION (Megawatthours)</t>
  </si>
  <si>
    <t>% of total</t>
  </si>
  <si>
    <t>Combining gas and oil (percentage)</t>
  </si>
  <si>
    <t>Combining gas and oil          (GWh)</t>
  </si>
  <si>
    <t>DOE Data Base----------NOT USED AS IS</t>
  </si>
  <si>
    <t>Nebraska's Energy Sources 2007</t>
  </si>
  <si>
    <t>USA 2007</t>
  </si>
  <si>
    <t>NE</t>
  </si>
  <si>
    <t>Total Electric Power Industry</t>
  </si>
  <si>
    <t>1+12+13</t>
  </si>
  <si>
    <t>1</t>
  </si>
  <si>
    <t>Petroleum</t>
  </si>
  <si>
    <t>Gas/Oil</t>
  </si>
  <si>
    <t>Diesel</t>
  </si>
  <si>
    <t>2</t>
  </si>
  <si>
    <t>Natural Gas</t>
  </si>
  <si>
    <t>Gas</t>
  </si>
  <si>
    <t>3+4</t>
  </si>
  <si>
    <t>3</t>
  </si>
  <si>
    <t>Other Gases</t>
  </si>
  <si>
    <t>Conventional Hydro</t>
  </si>
  <si>
    <t>4</t>
  </si>
  <si>
    <t>Renewable</t>
  </si>
  <si>
    <t>Hydro Renew</t>
  </si>
  <si>
    <t>5</t>
  </si>
  <si>
    <t>Hydroelectric Conventional</t>
  </si>
  <si>
    <t>TOTAL</t>
  </si>
  <si>
    <t>Wind Renew</t>
  </si>
  <si>
    <t>6</t>
  </si>
  <si>
    <t>Wind</t>
  </si>
  <si>
    <t>Other Renew</t>
  </si>
  <si>
    <t>8+9+10+11</t>
  </si>
  <si>
    <t>7</t>
  </si>
  <si>
    <t>Other Biomass</t>
  </si>
  <si>
    <t>2007 Nebraska Electric Utility Generation by Fuel Source in GWh and Percent of Total</t>
  </si>
  <si>
    <t>Solar Thermal and Photovoltaic</t>
  </si>
  <si>
    <t>8</t>
  </si>
  <si>
    <t>Total</t>
  </si>
  <si>
    <t>Wood and Wood Derived Fuels</t>
  </si>
  <si>
    <t>9</t>
  </si>
  <si>
    <t>Electric Generators, Electric Utilities</t>
  </si>
  <si>
    <t>Geothermal</t>
  </si>
  <si>
    <t>10</t>
  </si>
  <si>
    <t>11</t>
  </si>
  <si>
    <t>Pumped Storage</t>
  </si>
  <si>
    <t>12</t>
  </si>
  <si>
    <t>Other</t>
  </si>
  <si>
    <t>13</t>
  </si>
  <si>
    <t>Combined Heat and Power, Electric Power</t>
  </si>
  <si>
    <t>Combined Heat and Power, Commercial Power</t>
  </si>
  <si>
    <t>Combined Heat and Power, Industrial Power</t>
  </si>
  <si>
    <t>"Adjustment" of DOE data file</t>
  </si>
  <si>
    <t>2007 GWh</t>
  </si>
  <si>
    <t>Source</t>
  </si>
  <si>
    <t>DOE</t>
  </si>
  <si>
    <t>(assume same as 2006)</t>
  </si>
  <si>
    <t>Coal-Ext LT Purch</t>
  </si>
  <si>
    <t>LES, MEAN</t>
  </si>
  <si>
    <t>TS-Ext Firm</t>
  </si>
  <si>
    <t>Tri-State</t>
  </si>
  <si>
    <t>Neb Hydro</t>
  </si>
  <si>
    <t>WAPA-Ext LT Hydro</t>
  </si>
  <si>
    <t>All Neb Utilities</t>
  </si>
  <si>
    <t>2007 Retail Sales</t>
  </si>
  <si>
    <t>GWh</t>
  </si>
  <si>
    <t>% toward RPS in 2007</t>
  </si>
  <si>
    <r>
      <t>not</t>
    </r>
    <r>
      <rPr>
        <sz val="10"/>
        <rFont val="Arial"/>
        <family val="2"/>
      </rPr>
      <t xml:space="preserve"> including hydro</t>
    </r>
  </si>
  <si>
    <t>including hydro</t>
  </si>
  <si>
    <t>coal</t>
  </si>
  <si>
    <t>nuclear</t>
  </si>
  <si>
    <t>gas/oil</t>
  </si>
  <si>
    <t>Hyd&amp;Oth Renew</t>
  </si>
  <si>
    <t>wind renew</t>
  </si>
  <si>
    <t>hyd&amp;oth renew</t>
  </si>
  <si>
    <t>COAL</t>
  </si>
  <si>
    <t>NUCLEAR</t>
  </si>
  <si>
    <t>GAS/OIL</t>
  </si>
  <si>
    <t>HYDRO &amp; OTHER RENEWABLE</t>
  </si>
  <si>
    <t>WIND RENEWABLE</t>
  </si>
  <si>
    <t xml:space="preserve">     Gas/Oil</t>
  </si>
  <si>
    <t xml:space="preserve">     Hydro &amp; Other Renewable</t>
  </si>
  <si>
    <t xml:space="preserve">     Wind Renewable</t>
  </si>
  <si>
    <t>Nebraska Load + Est. Losses (GWh)</t>
  </si>
  <si>
    <t>Net Exports (GWh)</t>
  </si>
  <si>
    <t>2007 from page 30, main body, 12-09-09, 7.4% losses. 2018 from page 50 of main body, 12-09-09</t>
  </si>
  <si>
    <t>Scenario 3-w/overlay</t>
  </si>
  <si>
    <t>Scenario 4-w/overlay</t>
  </si>
  <si>
    <t>Tables 75, 77, 78</t>
  </si>
  <si>
    <t>Tables 71, 73, 74</t>
  </si>
  <si>
    <t>Tables 67, 69, 70</t>
  </si>
  <si>
    <t>red need fixing</t>
  </si>
  <si>
    <t>Neb Load + Losses</t>
  </si>
  <si>
    <t>Neb Generation (GWh)</t>
  </si>
  <si>
    <t>Net Neb Exports</t>
  </si>
  <si>
    <t>NEB WIND GENERATION</t>
  </si>
  <si>
    <t>NEB TRANSMISSION</t>
  </si>
  <si>
    <t>NEB LOAD AND GENERATION</t>
  </si>
  <si>
    <t>NEB CO2 EMISSIONS</t>
  </si>
  <si>
    <t>Neb CO2 Emissions in millions of short-tons</t>
  </si>
  <si>
    <t>CO2 Emissions in millions of short-tons</t>
  </si>
  <si>
    <t>Reference Emissions for Existing Wind</t>
  </si>
  <si>
    <t>Neb CO2 Emissions  Reductions in millions of short-tons (NOT counting external to Neb)</t>
  </si>
  <si>
    <t>SPP INTEGRATION COSTS (2006 PATTERN - 2009$/MWh)</t>
  </si>
  <si>
    <t>Shaped Proxy</t>
  </si>
  <si>
    <t>Sub-period Block Proxy - Native</t>
  </si>
  <si>
    <t>Sub-period Block Proxy - Implied             (including "exported" shape costs)</t>
  </si>
  <si>
    <t xml:space="preserve">1.52 (Scenario 3)                   1.45 (Scenario 2)       </t>
  </si>
  <si>
    <t>NEB INTEGRATION COSTS (2006 PATTERN - millions of 2009$)</t>
  </si>
  <si>
    <t>above normalized cost applied to Neb Wind MWh</t>
  </si>
  <si>
    <t>Annual Maximum Up-Ramp</t>
  </si>
  <si>
    <t>Highest Monthly Average Up-Ramp</t>
  </si>
  <si>
    <t>Annual Maximum Down-Ramp</t>
  </si>
  <si>
    <t>Highest Monthly Avg Down-Ramp</t>
  </si>
  <si>
    <t>NEB HOURLY RAMPING-LOAD (MW, 2006 pattern, 20%)</t>
  </si>
  <si>
    <t>NEB HOURLY RAMPING-LOAD NET WIND (MW, 2006 pattern, 20%)</t>
  </si>
  <si>
    <t>1,113 (hour 8, Jan)</t>
  </si>
  <si>
    <t>643 (hour 7, Feb)</t>
  </si>
  <si>
    <t>501 (hour 9, July)</t>
  </si>
  <si>
    <t>430 (hour 7, Jan)</t>
  </si>
  <si>
    <t>Figure 116, section 8.2</t>
  </si>
  <si>
    <t>Figure 115, section 8.2</t>
  </si>
  <si>
    <t>-1,008 (hour 23, Sep)</t>
  </si>
  <si>
    <t>Figure 137, section 8.2</t>
  </si>
  <si>
    <t>-718 (hour 1, Oct)</t>
  </si>
  <si>
    <t>-477 (hour 24, Aug)</t>
  </si>
  <si>
    <t>Figure 136, section 8.2</t>
  </si>
  <si>
    <t>-494 (hour 24, Aug)</t>
  </si>
  <si>
    <t>Load Only Requirements</t>
  </si>
  <si>
    <t>Load and Wind Together Requirements</t>
  </si>
  <si>
    <t>Incremental Requirement from Wind</t>
  </si>
  <si>
    <t>Table 59, main body</t>
  </si>
  <si>
    <t>SPP REGULATING RESERVES WITH NEBRASKA (HOURLY MAXIMUM MW, 2006 PROFILE)</t>
  </si>
  <si>
    <t xml:space="preserve">13.51 (Scenario 3)           12.88 (Scenario 2)       </t>
  </si>
  <si>
    <t>acres disturbed per MW assumption (from LR83 paper, Topic 4, page 4, June 09)</t>
  </si>
  <si>
    <t>Rest of SPP sales for 2007 are estimated beginning with 2005 values from DOE eGrid generation data at www.epa.gov/cleanenergy/documents/egridzips/eGRID2007V1_1_year05_SummaryTables.pdf, then using an estimated scale factor up to 2007.  2018 data from page 50 of main body.</t>
  </si>
  <si>
    <t>Estimated Neb Share of SPP Load + Losses</t>
  </si>
  <si>
    <t xml:space="preserve">Estimated Annual Load Factor </t>
  </si>
  <si>
    <t>Estimated Coincident Peak Demand (MW)</t>
  </si>
  <si>
    <t>SPP REGULATING RESERVES WITH NEBRASKA (AVERAGE MW, 2006 PROFILE)</t>
  </si>
  <si>
    <t>Rough Estimation of 2018 Retail Revenues for SPP and 2005 Emissions and Associated CAP</t>
  </si>
  <si>
    <t>DOE-EIA: 2007</t>
  </si>
  <si>
    <t>from www.eia.doe.gov/cneaf/electricity/epa/epa_sprdshts.htm</t>
  </si>
  <si>
    <t>States</t>
  </si>
  <si>
    <t>Retail Sales (MWh)</t>
  </si>
  <si>
    <t>Retail Revs (k$)</t>
  </si>
  <si>
    <t>Rate (cents/kWh)</t>
  </si>
  <si>
    <t>Portion in SPP</t>
  </si>
  <si>
    <t>2005 retail sales</t>
  </si>
  <si>
    <t>growth 2007/  2005</t>
  </si>
  <si>
    <t>SPP Area</t>
  </si>
  <si>
    <t>neb</t>
  </si>
  <si>
    <t>Rest of SPP</t>
  </si>
  <si>
    <t>AR</t>
  </si>
  <si>
    <t>KS</t>
  </si>
  <si>
    <t>LA</t>
  </si>
  <si>
    <t>MO</t>
  </si>
  <si>
    <t>NM</t>
  </si>
  <si>
    <t>OK</t>
  </si>
  <si>
    <t>TX</t>
  </si>
  <si>
    <t>wtd avg SPP</t>
  </si>
  <si>
    <t>2018 estimation of Retail Sales</t>
  </si>
  <si>
    <t>esc 2.5%/yr</t>
  </si>
  <si>
    <t>2018 Retail Revenues</t>
  </si>
  <si>
    <t xml:space="preserve">2005 CO2 </t>
  </si>
  <si>
    <t>epa egrid</t>
  </si>
  <si>
    <t>million</t>
  </si>
  <si>
    <t>2018 GWh</t>
  </si>
  <si>
    <t>2018 rate</t>
  </si>
  <si>
    <t>$Million</t>
  </si>
  <si>
    <t>Emissions</t>
  </si>
  <si>
    <t>#/MWh</t>
  </si>
  <si>
    <t>short tons</t>
  </si>
  <si>
    <t>MWh-egrid</t>
  </si>
  <si>
    <t>project all</t>
  </si>
  <si>
    <t>10% remain*</t>
  </si>
  <si>
    <t>**</t>
  </si>
  <si>
    <t>21%% remain*</t>
  </si>
  <si>
    <t>30% remain*</t>
  </si>
  <si>
    <t>5% remain*</t>
  </si>
  <si>
    <t>34% remain*</t>
  </si>
  <si>
    <t>TOTAL SPP incl Neb</t>
  </si>
  <si>
    <t>BEFORE CO2</t>
  </si>
  <si>
    <t>TOTAL CO2 Emission Est.</t>
  </si>
  <si>
    <t>&lt;--- 2005</t>
  </si>
  <si>
    <t>*ratios for remaining part of rest of SPP are weighted by generation capacities show in PROMOD</t>
  </si>
  <si>
    <t xml:space="preserve">&lt;--- 2018 cap </t>
  </si>
  <si>
    <t>(2007 - before carbon)</t>
  </si>
  <si>
    <t>**use 0.91 for 2005 busbar from 2018 retail</t>
  </si>
  <si>
    <t>NPA-NREL Wind Study - Estimation of SPP 2018 Free Allowances</t>
  </si>
  <si>
    <t>Portion based on Retail Sales</t>
  </si>
  <si>
    <t>From APPA spreadsheet:</t>
  </si>
  <si>
    <r>
      <t xml:space="preserve">free allowances in 2018 per retail MWh sold in selected 3-year window averaged (based on </t>
    </r>
    <r>
      <rPr>
        <u val="single"/>
        <sz val="10"/>
        <color indexed="8"/>
        <rFont val="Arial"/>
        <family val="2"/>
      </rPr>
      <t>metric</t>
    </r>
    <r>
      <rPr>
        <sz val="10"/>
        <color theme="1"/>
        <rFont val="Arial"/>
        <family val="2"/>
      </rPr>
      <t xml:space="preserve"> tons)</t>
    </r>
  </si>
  <si>
    <t>From US EPA eGRID 2007 Version 1.1 (http://www.epa.gov/cleanenergy/documents/egridzips/eGRID2007V1_1_year05_SummaryTables.pdf)</t>
  </si>
  <si>
    <t>SPP-North 2005 Net generation in MWh</t>
  </si>
  <si>
    <t>SPP-South 2005 Net generation in MWh</t>
  </si>
  <si>
    <r>
      <t xml:space="preserve">SPP 2005 Net Generation in MWh, </t>
    </r>
    <r>
      <rPr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including Neb</t>
    </r>
  </si>
  <si>
    <t>Losses from Busbar to Retail meter assume----------&gt;</t>
  </si>
  <si>
    <r>
      <t xml:space="preserve">Estimated SPP 2005 Retail Sales in MWh, </t>
    </r>
    <r>
      <rPr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including Neb</t>
    </r>
  </si>
  <si>
    <r>
      <t xml:space="preserve">Estimated growth in SPP Retail Sales in MWh, </t>
    </r>
    <r>
      <rPr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incl Neb from 2005 to 2007 at --&gt;</t>
    </r>
  </si>
  <si>
    <r>
      <t xml:space="preserve">Estimated SPP 2007 Retail Sales in MWh, </t>
    </r>
    <r>
      <rPr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including Nebraska</t>
    </r>
  </si>
  <si>
    <t xml:space="preserve">Nebraska 2007 Retail Sales in MWh from DOE-EIA </t>
  </si>
  <si>
    <r>
      <t xml:space="preserve">Estimated TOTAL SPP 2007 Retail Sales in MWh, </t>
    </r>
    <r>
      <rPr>
        <u val="single"/>
        <sz val="10"/>
        <color indexed="8"/>
        <rFont val="Arial"/>
        <family val="2"/>
      </rPr>
      <t>including</t>
    </r>
    <r>
      <rPr>
        <sz val="10"/>
        <color theme="1"/>
        <rFont val="Arial"/>
        <family val="2"/>
      </rPr>
      <t xml:space="preserve"> Nebraska (use 2007 as proxy for 2006-2008 avg)</t>
    </r>
  </si>
  <si>
    <r>
      <t xml:space="preserve">2018 Estimated free allowances to SPP </t>
    </r>
    <r>
      <rPr>
        <u val="single"/>
        <sz val="10"/>
        <color indexed="8"/>
        <rFont val="Arial"/>
        <family val="2"/>
      </rPr>
      <t>including</t>
    </r>
    <r>
      <rPr>
        <sz val="10"/>
        <color theme="1"/>
        <rFont val="Arial"/>
        <family val="2"/>
      </rPr>
      <t xml:space="preserve"> Neb for the portion based on retail sales (based on </t>
    </r>
    <r>
      <rPr>
        <u val="single"/>
        <sz val="10"/>
        <color indexed="8"/>
        <rFont val="Arial"/>
        <family val="2"/>
      </rPr>
      <t>metric</t>
    </r>
    <r>
      <rPr>
        <sz val="10"/>
        <color theme="1"/>
        <rFont val="Arial"/>
        <family val="2"/>
      </rPr>
      <t xml:space="preserve"> tons)</t>
    </r>
  </si>
  <si>
    <t>Portion based on Emissions in Sales</t>
  </si>
  <si>
    <t>Neb</t>
  </si>
  <si>
    <t>SPP-North</t>
  </si>
  <si>
    <t>SPP-South</t>
  </si>
  <si>
    <t xml:space="preserve">Coal </t>
  </si>
  <si>
    <t>Oil</t>
  </si>
  <si>
    <t>share of sales</t>
  </si>
  <si>
    <t>sales per type</t>
  </si>
  <si>
    <t>alloc factor</t>
  </si>
  <si>
    <r>
      <t xml:space="preserve">2018 Estimated free allowance to SPP </t>
    </r>
    <r>
      <rPr>
        <u val="single"/>
        <sz val="10"/>
        <color indexed="8"/>
        <rFont val="Arial"/>
        <family val="2"/>
      </rPr>
      <t>including</t>
    </r>
    <r>
      <rPr>
        <sz val="10"/>
        <color theme="1"/>
        <rFont val="Arial"/>
        <family val="2"/>
      </rPr>
      <t xml:space="preserve"> Neb for the portion based on emissions in sales (based on </t>
    </r>
    <r>
      <rPr>
        <u val="single"/>
        <sz val="10"/>
        <color indexed="8"/>
        <rFont val="Arial"/>
        <family val="2"/>
      </rPr>
      <t>metric</t>
    </r>
    <r>
      <rPr>
        <sz val="10"/>
        <color theme="1"/>
        <rFont val="Arial"/>
        <family val="2"/>
      </rPr>
      <t xml:space="preserve"> tons).</t>
    </r>
  </si>
  <si>
    <r>
      <t xml:space="preserve">2018 Estimated TOTAL free allowances to SPP </t>
    </r>
    <r>
      <rPr>
        <u val="single"/>
        <sz val="10"/>
        <color indexed="8"/>
        <rFont val="Arial"/>
        <family val="2"/>
      </rPr>
      <t>including</t>
    </r>
    <r>
      <rPr>
        <sz val="10"/>
        <color theme="1"/>
        <rFont val="Arial"/>
        <family val="2"/>
      </rPr>
      <t xml:space="preserve"> Nebraska (based on </t>
    </r>
    <r>
      <rPr>
        <u val="single"/>
        <sz val="10"/>
        <color indexed="8"/>
        <rFont val="Arial"/>
        <family val="2"/>
      </rPr>
      <t>metric</t>
    </r>
    <r>
      <rPr>
        <sz val="10"/>
        <color theme="1"/>
        <rFont val="Arial"/>
        <family val="2"/>
      </rPr>
      <t xml:space="preserve"> tons of CO2)</t>
    </r>
  </si>
  <si>
    <r>
      <t xml:space="preserve">2018 Estimated TOTAL free allowances to SPP </t>
    </r>
    <r>
      <rPr>
        <b/>
        <u val="single"/>
        <sz val="10"/>
        <color indexed="8"/>
        <rFont val="Arial"/>
        <family val="2"/>
      </rPr>
      <t>including</t>
    </r>
    <r>
      <rPr>
        <b/>
        <sz val="10"/>
        <color indexed="8"/>
        <rFont val="Arial"/>
        <family val="2"/>
      </rPr>
      <t xml:space="preserve"> Nebraska (based on </t>
    </r>
    <r>
      <rPr>
        <b/>
        <u val="single"/>
        <sz val="10"/>
        <color indexed="8"/>
        <rFont val="Arial"/>
        <family val="2"/>
      </rPr>
      <t>short</t>
    </r>
    <r>
      <rPr>
        <b/>
        <sz val="10"/>
        <color indexed="8"/>
        <rFont val="Arial"/>
        <family val="2"/>
      </rPr>
      <t xml:space="preserve"> tons of CO2)</t>
    </r>
  </si>
  <si>
    <t>Rate for rest</t>
  </si>
  <si>
    <t xml:space="preserve">Calculation of </t>
  </si>
  <si>
    <t xml:space="preserve">of SPP </t>
  </si>
  <si>
    <t>in 2007:</t>
  </si>
  <si>
    <t>Neb 2007 rate</t>
  </si>
  <si>
    <t xml:space="preserve"> Estimated Average Retail Rate                 (nominal cents/kWh)</t>
  </si>
  <si>
    <t>SPP REVENUE REQUIREMENT (TOTAL COST) IN AVERAGE RATE TERMS</t>
  </si>
  <si>
    <t>KEY STUDY PARAMETERS</t>
  </si>
  <si>
    <t>Wind patterns used were 2004, 2005, 2006 and matched with utility load patterns for those years.</t>
  </si>
  <si>
    <t>Study was focused in year 2018 to allow significant development of wind generation, transmission and load.</t>
  </si>
  <si>
    <t>Wind penetration levels ranged from 10% to 40% measured by native load customer energy requirements.</t>
  </si>
  <si>
    <t>Only other generation added was Whelan 2, ADM, and a conversion of CT plant to CC.</t>
  </si>
  <si>
    <t>New Transmission added included Knoll - Axtell, plus local reinforcements for injections, plus overlay in Scenarios 3 and 4</t>
  </si>
  <si>
    <t>Models look at variability of load and wind and uncertainty of the wind, covering Nebraska, down to north Texas, up into Canada, and east to Pennsylvania and Tennessee.</t>
  </si>
  <si>
    <t>Base assumptions for the 2018 results above are $25/short ton of CO2 emission (2018$), REC price at zero, cap-and-trade CO2 regulation (with some emissions allowed up to cap).</t>
  </si>
  <si>
    <t xml:space="preserve">Sensitivity cases run include various proxy resources, CO2 cost, REC price, market structure, hurdle rate, existing wind, Neb overlay at 345kV, and WAPA mitigation. </t>
  </si>
  <si>
    <t>72 ('07), 152 ('09)</t>
  </si>
  <si>
    <t>30% ('07)</t>
  </si>
  <si>
    <t>187 ('07)</t>
  </si>
  <si>
    <t>46('07), 73 ('09)          variable sizes</t>
  </si>
  <si>
    <t>Nebraska Statewide Integration Study - Key Facts Dec 16, 2009</t>
  </si>
  <si>
    <r>
      <t xml:space="preserve">Incremental Requirement from Wind (Coincidental - </t>
    </r>
    <r>
      <rPr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the delta of the above numbers)</t>
    </r>
  </si>
  <si>
    <t>27.64 (Scenario 2)</t>
  </si>
  <si>
    <t>82.28 (Scenario 2)</t>
  </si>
  <si>
    <t>3.11 (Scenario 2)</t>
  </si>
  <si>
    <t>9.26 (Scenario 2)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</si>
</sst>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0.0"/>
    <numFmt numFmtId="171" formatCode="0.0000"/>
    <numFmt numFmtId="172" formatCode="0.000"/>
    <numFmt numFmtId="173" formatCode="#,##0.0_);\(#,##0.0\)"/>
    <numFmt numFmtId="174" formatCode="0_);\(0\)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000"/>
    <numFmt numFmtId="183" formatCode="_(* #,##0.000_);_(* \(#,##0.000\);_(* &quot;-&quot;??_);_(@_)"/>
    <numFmt numFmtId="184" formatCode="#,##0.0000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10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7"/>
      <color indexed="8"/>
      <name val="Arial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rgb="FFFF0000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u val="single"/>
      <sz val="10"/>
      <color theme="1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0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5" fontId="0" fillId="0" borderId="0" xfId="0" applyNumberFormat="1" applyAlignment="1">
      <alignment horizontal="center" vertical="top"/>
    </xf>
    <xf numFmtId="5" fontId="0" fillId="33" borderId="0" xfId="0" applyNumberFormat="1" applyFill="1" applyAlignment="1">
      <alignment horizontal="right" vertical="top"/>
    </xf>
    <xf numFmtId="5" fontId="0" fillId="0" borderId="0" xfId="0" applyNumberFormat="1" applyFill="1" applyAlignment="1">
      <alignment horizontal="right" vertical="top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1" fontId="57" fillId="0" borderId="0" xfId="0" applyNumberFormat="1" applyFont="1" applyAlignment="1">
      <alignment horizontal="center"/>
    </xf>
    <xf numFmtId="9" fontId="57" fillId="0" borderId="0" xfId="0" applyNumberFormat="1" applyFont="1" applyAlignment="1">
      <alignment horizontal="center"/>
    </xf>
    <xf numFmtId="0" fontId="57" fillId="0" borderId="0" xfId="0" applyFont="1" applyAlignment="1" quotePrefix="1">
      <alignment/>
    </xf>
    <xf numFmtId="5" fontId="57" fillId="0" borderId="0" xfId="0" applyNumberFormat="1" applyFont="1" applyAlignment="1">
      <alignment/>
    </xf>
    <xf numFmtId="9" fontId="57" fillId="33" borderId="0" xfId="0" applyNumberFormat="1" applyFont="1" applyFill="1" applyAlignment="1">
      <alignment/>
    </xf>
    <xf numFmtId="37" fontId="57" fillId="0" borderId="0" xfId="0" applyNumberFormat="1" applyFont="1" applyAlignment="1">
      <alignment/>
    </xf>
    <xf numFmtId="0" fontId="57" fillId="33" borderId="0" xfId="0" applyFont="1" applyFill="1" applyAlignment="1">
      <alignment/>
    </xf>
    <xf numFmtId="7" fontId="57" fillId="0" borderId="0" xfId="0" applyNumberFormat="1" applyFont="1" applyAlignment="1">
      <alignment/>
    </xf>
    <xf numFmtId="9" fontId="57" fillId="0" borderId="0" xfId="0" applyNumberFormat="1" applyFont="1" applyFill="1" applyAlignment="1">
      <alignment/>
    </xf>
    <xf numFmtId="2" fontId="57" fillId="33" borderId="0" xfId="0" applyNumberFormat="1" applyFont="1" applyFill="1" applyAlignment="1">
      <alignment/>
    </xf>
    <xf numFmtId="2" fontId="57" fillId="0" borderId="0" xfId="0" applyNumberFormat="1" applyFont="1" applyAlignment="1">
      <alignment/>
    </xf>
    <xf numFmtId="2" fontId="57" fillId="0" borderId="10" xfId="0" applyNumberFormat="1" applyFont="1" applyBorder="1" applyAlignment="1">
      <alignment/>
    </xf>
    <xf numFmtId="9" fontId="57" fillId="33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5" fillId="0" borderId="0" xfId="66" applyFont="1" applyAlignment="1">
      <alignment vertical="center"/>
      <protection/>
    </xf>
    <xf numFmtId="0" fontId="8" fillId="0" borderId="0" xfId="66" applyFont="1">
      <alignment/>
      <protection/>
    </xf>
    <xf numFmtId="0" fontId="5" fillId="0" borderId="0" xfId="66" applyFont="1">
      <alignment/>
      <protection/>
    </xf>
    <xf numFmtId="0" fontId="7" fillId="34" borderId="12" xfId="66" applyNumberFormat="1" applyFont="1" applyFill="1" applyBorder="1" applyAlignment="1" quotePrefix="1">
      <alignment horizontal="center" vertical="center"/>
      <protection/>
    </xf>
    <xf numFmtId="3" fontId="7" fillId="34" borderId="12" xfId="66" applyNumberFormat="1" applyFont="1" applyFill="1" applyBorder="1" applyAlignment="1" quotePrefix="1">
      <alignment horizontal="center" vertical="center" wrapText="1"/>
      <protection/>
    </xf>
    <xf numFmtId="0" fontId="5" fillId="0" borderId="0" xfId="66" applyFont="1" applyAlignment="1">
      <alignment wrapText="1"/>
      <protection/>
    </xf>
    <xf numFmtId="0" fontId="9" fillId="0" borderId="13" xfId="66" applyFont="1" applyBorder="1" applyAlignment="1">
      <alignment horizontal="center" wrapText="1"/>
      <protection/>
    </xf>
    <xf numFmtId="0" fontId="9" fillId="0" borderId="14" xfId="66" applyFont="1" applyBorder="1" applyAlignment="1">
      <alignment wrapText="1"/>
      <protection/>
    </xf>
    <xf numFmtId="0" fontId="10" fillId="0" borderId="0" xfId="66" applyFont="1">
      <alignment/>
      <protection/>
    </xf>
    <xf numFmtId="0" fontId="2" fillId="0" borderId="0" xfId="66" applyFont="1">
      <alignment/>
      <protection/>
    </xf>
    <xf numFmtId="0" fontId="11" fillId="0" borderId="0" xfId="66" applyFont="1">
      <alignment/>
      <protection/>
    </xf>
    <xf numFmtId="0" fontId="10" fillId="0" borderId="0" xfId="66" applyFont="1" applyAlignment="1">
      <alignment horizontal="center"/>
      <protection/>
    </xf>
    <xf numFmtId="0" fontId="7" fillId="35" borderId="12" xfId="66" applyNumberFormat="1" applyFont="1" applyFill="1" applyBorder="1" quotePrefix="1">
      <alignment/>
      <protection/>
    </xf>
    <xf numFmtId="0" fontId="7" fillId="36" borderId="12" xfId="66" applyNumberFormat="1" applyFont="1" applyFill="1" applyBorder="1" applyAlignment="1" quotePrefix="1">
      <alignment horizontal="center"/>
      <protection/>
    </xf>
    <xf numFmtId="0" fontId="9" fillId="36" borderId="12" xfId="66" applyNumberFormat="1" applyFont="1" applyFill="1" applyBorder="1" applyAlignment="1" quotePrefix="1">
      <alignment horizontal="center"/>
      <protection/>
    </xf>
    <xf numFmtId="0" fontId="9" fillId="36" borderId="12" xfId="66" applyNumberFormat="1" applyFont="1" applyFill="1" applyBorder="1" applyAlignment="1" quotePrefix="1">
      <alignment horizontal="right"/>
      <protection/>
    </xf>
    <xf numFmtId="3" fontId="5" fillId="37" borderId="12" xfId="57" applyNumberFormat="1" applyFont="1" applyFill="1" applyBorder="1" quotePrefix="1">
      <alignment/>
      <protection/>
    </xf>
    <xf numFmtId="164" fontId="5" fillId="0" borderId="0" xfId="70" applyNumberFormat="1" applyFont="1" applyAlignment="1">
      <alignment/>
    </xf>
    <xf numFmtId="164" fontId="5" fillId="0" borderId="15" xfId="66" applyNumberFormat="1" applyFont="1" applyBorder="1">
      <alignment/>
      <protection/>
    </xf>
    <xf numFmtId="168" fontId="5" fillId="0" borderId="0" xfId="44" applyNumberFormat="1" applyFont="1" applyBorder="1" applyAlignment="1">
      <alignment/>
    </xf>
    <xf numFmtId="0" fontId="5" fillId="0" borderId="0" xfId="66" applyFont="1" applyBorder="1">
      <alignment/>
      <protection/>
    </xf>
    <xf numFmtId="0" fontId="5" fillId="0" borderId="16" xfId="66" applyFont="1" applyBorder="1">
      <alignment/>
      <protection/>
    </xf>
    <xf numFmtId="164" fontId="5" fillId="0" borderId="0" xfId="66" applyNumberFormat="1" applyFont="1">
      <alignment/>
      <protection/>
    </xf>
    <xf numFmtId="164" fontId="2" fillId="0" borderId="0" xfId="66" applyNumberFormat="1" applyFont="1">
      <alignment/>
      <protection/>
    </xf>
    <xf numFmtId="164" fontId="11" fillId="0" borderId="0" xfId="66" applyNumberFormat="1" applyFont="1">
      <alignment/>
      <protection/>
    </xf>
    <xf numFmtId="0" fontId="5" fillId="0" borderId="0" xfId="66" applyFont="1" applyAlignment="1">
      <alignment horizontal="center"/>
      <protection/>
    </xf>
    <xf numFmtId="0" fontId="5" fillId="36" borderId="12" xfId="57" applyNumberFormat="1" applyFont="1" applyFill="1" applyBorder="1" applyAlignment="1" quotePrefix="1">
      <alignment horizontal="center"/>
      <protection/>
    </xf>
    <xf numFmtId="0" fontId="5" fillId="0" borderId="0" xfId="66" applyFont="1" quotePrefix="1">
      <alignment/>
      <protection/>
    </xf>
    <xf numFmtId="164" fontId="5" fillId="0" borderId="17" xfId="66" applyNumberFormat="1" applyFont="1" applyBorder="1">
      <alignment/>
      <protection/>
    </xf>
    <xf numFmtId="168" fontId="5" fillId="0" borderId="10" xfId="44" applyNumberFormat="1" applyFont="1" applyBorder="1" applyAlignment="1">
      <alignment/>
    </xf>
    <xf numFmtId="0" fontId="5" fillId="0" borderId="10" xfId="66" applyFont="1" applyBorder="1">
      <alignment/>
      <protection/>
    </xf>
    <xf numFmtId="0" fontId="5" fillId="0" borderId="18" xfId="66" applyFont="1" applyBorder="1">
      <alignment/>
      <protection/>
    </xf>
    <xf numFmtId="164" fontId="5" fillId="0" borderId="19" xfId="66" applyNumberFormat="1" applyFont="1" applyBorder="1">
      <alignment/>
      <protection/>
    </xf>
    <xf numFmtId="168" fontId="5" fillId="0" borderId="20" xfId="44" applyNumberFormat="1" applyFont="1" applyBorder="1" applyAlignment="1">
      <alignment/>
    </xf>
    <xf numFmtId="0" fontId="5" fillId="0" borderId="20" xfId="66" applyFont="1" applyBorder="1">
      <alignment/>
      <protection/>
    </xf>
    <xf numFmtId="0" fontId="5" fillId="0" borderId="21" xfId="66" applyFont="1" applyBorder="1">
      <alignment/>
      <protection/>
    </xf>
    <xf numFmtId="164" fontId="5" fillId="0" borderId="0" xfId="66" applyNumberFormat="1" applyFont="1" applyBorder="1">
      <alignment/>
      <protection/>
    </xf>
    <xf numFmtId="0" fontId="2" fillId="0" borderId="22" xfId="66" applyFont="1" applyBorder="1">
      <alignment/>
      <protection/>
    </xf>
    <xf numFmtId="164" fontId="5" fillId="0" borderId="22" xfId="66" applyNumberFormat="1" applyFont="1" applyBorder="1">
      <alignment/>
      <protection/>
    </xf>
    <xf numFmtId="164" fontId="2" fillId="0" borderId="22" xfId="66" applyNumberFormat="1" applyFont="1" applyBorder="1">
      <alignment/>
      <protection/>
    </xf>
    <xf numFmtId="164" fontId="11" fillId="0" borderId="22" xfId="66" applyNumberFormat="1" applyFont="1" applyBorder="1">
      <alignment/>
      <protection/>
    </xf>
    <xf numFmtId="164" fontId="5" fillId="0" borderId="22" xfId="70" applyNumberFormat="1" applyFont="1" applyBorder="1" applyAlignment="1">
      <alignment/>
    </xf>
    <xf numFmtId="0" fontId="9" fillId="0" borderId="0" xfId="66" applyFont="1" applyAlignment="1">
      <alignment horizontal="center"/>
      <protection/>
    </xf>
    <xf numFmtId="0" fontId="12" fillId="0" borderId="0" xfId="66" applyFont="1">
      <alignment/>
      <protection/>
    </xf>
    <xf numFmtId="3" fontId="5" fillId="0" borderId="12" xfId="66" applyNumberFormat="1" applyFont="1" applyFill="1" applyBorder="1" quotePrefix="1">
      <alignment/>
      <protection/>
    </xf>
    <xf numFmtId="3" fontId="5" fillId="37" borderId="12" xfId="66" applyNumberFormat="1" applyFont="1" applyFill="1" applyBorder="1" quotePrefix="1">
      <alignment/>
      <protection/>
    </xf>
    <xf numFmtId="0" fontId="7" fillId="0" borderId="0" xfId="66" applyFont="1">
      <alignment/>
      <protection/>
    </xf>
    <xf numFmtId="0" fontId="7" fillId="0" borderId="0" xfId="66" applyFont="1" applyAlignment="1">
      <alignment horizontal="center"/>
      <protection/>
    </xf>
    <xf numFmtId="0" fontId="7" fillId="0" borderId="13" xfId="66" applyFont="1" applyBorder="1">
      <alignment/>
      <protection/>
    </xf>
    <xf numFmtId="0" fontId="7" fillId="0" borderId="14" xfId="66" applyFont="1" applyBorder="1">
      <alignment/>
      <protection/>
    </xf>
    <xf numFmtId="0" fontId="5" fillId="0" borderId="14" xfId="66" applyFont="1" applyBorder="1">
      <alignment/>
      <protection/>
    </xf>
    <xf numFmtId="0" fontId="5" fillId="0" borderId="23" xfId="66" applyFont="1" applyBorder="1">
      <alignment/>
      <protection/>
    </xf>
    <xf numFmtId="0" fontId="7" fillId="0" borderId="15" xfId="66" applyFont="1" applyBorder="1">
      <alignment/>
      <protection/>
    </xf>
    <xf numFmtId="0" fontId="7" fillId="0" borderId="0" xfId="66" applyFont="1" applyBorder="1">
      <alignment/>
      <protection/>
    </xf>
    <xf numFmtId="0" fontId="7" fillId="0" borderId="0" xfId="66" applyFont="1" applyBorder="1" applyAlignment="1">
      <alignment horizontal="center"/>
      <protection/>
    </xf>
    <xf numFmtId="0" fontId="5" fillId="0" borderId="15" xfId="57" applyBorder="1" applyAlignment="1">
      <alignment horizontal="left" vertical="top"/>
      <protection/>
    </xf>
    <xf numFmtId="168" fontId="5" fillId="0" borderId="0" xfId="66" applyNumberFormat="1" applyFont="1" applyBorder="1">
      <alignment/>
      <protection/>
    </xf>
    <xf numFmtId="164" fontId="5" fillId="0" borderId="0" xfId="70" applyNumberFormat="1" applyFont="1" applyBorder="1" applyAlignment="1">
      <alignment/>
    </xf>
    <xf numFmtId="0" fontId="5" fillId="0" borderId="0" xfId="66" applyFont="1" applyBorder="1" applyAlignment="1">
      <alignment horizontal="center"/>
      <protection/>
    </xf>
    <xf numFmtId="0" fontId="5" fillId="0" borderId="0" xfId="66" applyFont="1" applyAlignment="1">
      <alignment horizontal="right"/>
      <protection/>
    </xf>
    <xf numFmtId="0" fontId="5" fillId="0" borderId="15" xfId="57" applyBorder="1" applyAlignment="1">
      <alignment horizontal="left" vertical="top" wrapText="1"/>
      <protection/>
    </xf>
    <xf numFmtId="3" fontId="5" fillId="0" borderId="0" xfId="66" applyNumberFormat="1" applyFont="1" applyBorder="1">
      <alignment/>
      <protection/>
    </xf>
    <xf numFmtId="174" fontId="5" fillId="0" borderId="0" xfId="44" applyNumberFormat="1" applyFont="1" applyBorder="1" applyAlignment="1">
      <alignment/>
    </xf>
    <xf numFmtId="0" fontId="5" fillId="0" borderId="17" xfId="57" applyBorder="1" applyAlignment="1">
      <alignment horizontal="left" vertical="top"/>
      <protection/>
    </xf>
    <xf numFmtId="3" fontId="5" fillId="0" borderId="10" xfId="66" applyNumberFormat="1" applyFont="1" applyBorder="1">
      <alignment/>
      <protection/>
    </xf>
    <xf numFmtId="164" fontId="5" fillId="0" borderId="10" xfId="70" applyNumberFormat="1" applyFont="1" applyBorder="1" applyAlignment="1">
      <alignment/>
    </xf>
    <xf numFmtId="0" fontId="13" fillId="0" borderId="0" xfId="66" applyFont="1" applyBorder="1" applyAlignment="1">
      <alignment horizontal="left"/>
      <protection/>
    </xf>
    <xf numFmtId="0" fontId="5" fillId="0" borderId="15" xfId="66" applyFont="1" applyBorder="1" applyAlignment="1">
      <alignment horizontal="left"/>
      <protection/>
    </xf>
    <xf numFmtId="9" fontId="5" fillId="0" borderId="0" xfId="66" applyNumberFormat="1" applyFont="1" applyBorder="1">
      <alignment/>
      <protection/>
    </xf>
    <xf numFmtId="0" fontId="2" fillId="0" borderId="15" xfId="66" applyFont="1" applyBorder="1">
      <alignment/>
      <protection/>
    </xf>
    <xf numFmtId="0" fontId="5" fillId="0" borderId="15" xfId="66" applyFont="1" applyBorder="1">
      <alignment/>
      <protection/>
    </xf>
    <xf numFmtId="0" fontId="5" fillId="0" borderId="19" xfId="66" applyFont="1" applyBorder="1">
      <alignment/>
      <protection/>
    </xf>
    <xf numFmtId="10" fontId="5" fillId="0" borderId="20" xfId="70" applyNumberFormat="1" applyFont="1" applyBorder="1" applyAlignment="1">
      <alignment/>
    </xf>
    <xf numFmtId="0" fontId="14" fillId="0" borderId="20" xfId="66" applyFont="1" applyBorder="1">
      <alignment/>
      <protection/>
    </xf>
    <xf numFmtId="0" fontId="2" fillId="0" borderId="14" xfId="66" applyFont="1" applyBorder="1">
      <alignment/>
      <protection/>
    </xf>
    <xf numFmtId="3" fontId="5" fillId="0" borderId="0" xfId="66" applyNumberFormat="1" applyFont="1">
      <alignment/>
      <protection/>
    </xf>
    <xf numFmtId="0" fontId="57" fillId="0" borderId="0" xfId="66" applyFont="1">
      <alignment/>
      <protection/>
    </xf>
    <xf numFmtId="1" fontId="57" fillId="0" borderId="0" xfId="66" applyNumberFormat="1" applyFont="1">
      <alignment/>
      <protection/>
    </xf>
    <xf numFmtId="1" fontId="57" fillId="0" borderId="10" xfId="66" applyNumberFormat="1" applyFont="1" applyBorder="1">
      <alignment/>
      <protection/>
    </xf>
    <xf numFmtId="0" fontId="57" fillId="0" borderId="10" xfId="66" applyFont="1" applyBorder="1">
      <alignment/>
      <protection/>
    </xf>
    <xf numFmtId="168" fontId="5" fillId="0" borderId="0" xfId="66" applyNumberFormat="1" applyFont="1">
      <alignment/>
      <protection/>
    </xf>
    <xf numFmtId="168" fontId="5" fillId="0" borderId="10" xfId="66" applyNumberFormat="1" applyFont="1" applyBorder="1">
      <alignment/>
      <protection/>
    </xf>
    <xf numFmtId="168" fontId="0" fillId="0" borderId="0" xfId="0" applyNumberFormat="1" applyAlignment="1">
      <alignment horizontal="center" vertical="top"/>
    </xf>
    <xf numFmtId="168" fontId="5" fillId="0" borderId="0" xfId="42" applyNumberFormat="1" applyFont="1" applyBorder="1" applyAlignment="1">
      <alignment horizontal="center" vertical="top"/>
    </xf>
    <xf numFmtId="168" fontId="0" fillId="0" borderId="0" xfId="0" applyNumberFormat="1" applyBorder="1" applyAlignment="1">
      <alignment horizontal="center" vertical="top"/>
    </xf>
    <xf numFmtId="0" fontId="57" fillId="0" borderId="0" xfId="0" applyFont="1" applyAlignment="1">
      <alignment horizontal="right"/>
    </xf>
    <xf numFmtId="168" fontId="57" fillId="0" borderId="0" xfId="42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6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6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2" fontId="0" fillId="33" borderId="0" xfId="0" applyNumberFormat="1" applyFill="1" applyAlignment="1">
      <alignment vertical="top"/>
    </xf>
    <xf numFmtId="164" fontId="0" fillId="0" borderId="0" xfId="69" applyNumberFormat="1" applyFont="1" applyAlignment="1">
      <alignment horizontal="right" vertical="top"/>
    </xf>
    <xf numFmtId="168" fontId="0" fillId="0" borderId="0" xfId="0" applyNumberFormat="1" applyAlignment="1">
      <alignment horizontal="right" vertical="top"/>
    </xf>
    <xf numFmtId="168" fontId="5" fillId="0" borderId="0" xfId="42" applyNumberFormat="1" applyFon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171" fontId="0" fillId="0" borderId="0" xfId="0" applyNumberFormat="1" applyAlignment="1" quotePrefix="1">
      <alignment horizontal="center" vertical="top" wrapText="1"/>
    </xf>
    <xf numFmtId="9" fontId="1" fillId="0" borderId="0" xfId="71" applyFont="1" applyAlignment="1">
      <alignment/>
    </xf>
    <xf numFmtId="3" fontId="5" fillId="37" borderId="12" xfId="57" applyNumberFormat="1" applyFill="1" applyBorder="1" quotePrefix="1">
      <alignment/>
      <protection/>
    </xf>
    <xf numFmtId="9" fontId="1" fillId="0" borderId="0" xfId="71" applyFont="1" applyAlignment="1">
      <alignment horizontal="center" wrapText="1"/>
    </xf>
    <xf numFmtId="3" fontId="5" fillId="37" borderId="12" xfId="61" applyNumberFormat="1" applyFill="1" applyBorder="1" quotePrefix="1">
      <alignment/>
      <protection/>
    </xf>
    <xf numFmtId="172" fontId="0" fillId="0" borderId="0" xfId="0" applyNumberFormat="1" applyAlignment="1">
      <alignment/>
    </xf>
    <xf numFmtId="17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" fillId="37" borderId="12" xfId="58" applyNumberFormat="1" applyFill="1" applyBorder="1" quotePrefix="1">
      <alignment/>
      <protection/>
    </xf>
    <xf numFmtId="18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5" fillId="37" borderId="12" xfId="59" applyNumberFormat="1" applyFill="1" applyBorder="1" quotePrefix="1">
      <alignment/>
      <protection/>
    </xf>
    <xf numFmtId="3" fontId="5" fillId="37" borderId="12" xfId="60" applyNumberFormat="1" applyFill="1" applyBorder="1" quotePrefix="1">
      <alignment/>
      <protection/>
    </xf>
    <xf numFmtId="3" fontId="5" fillId="37" borderId="12" xfId="62" applyNumberFormat="1" applyFill="1" applyBorder="1" quotePrefix="1">
      <alignment/>
      <protection/>
    </xf>
    <xf numFmtId="3" fontId="5" fillId="37" borderId="12" xfId="63" applyNumberFormat="1" applyFill="1" applyBorder="1" quotePrefix="1">
      <alignment/>
      <protection/>
    </xf>
    <xf numFmtId="3" fontId="5" fillId="37" borderId="12" xfId="64" applyNumberFormat="1" applyFill="1" applyBorder="1" quotePrefix="1">
      <alignment/>
      <protection/>
    </xf>
    <xf numFmtId="183" fontId="0" fillId="0" borderId="17" xfId="0" applyNumberFormat="1" applyBorder="1" applyAlignment="1">
      <alignment/>
    </xf>
    <xf numFmtId="18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horizontal="center"/>
    </xf>
    <xf numFmtId="9" fontId="3" fillId="0" borderId="14" xfId="7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 horizontal="right"/>
    </xf>
    <xf numFmtId="9" fontId="3" fillId="0" borderId="0" xfId="71" applyFont="1" applyBorder="1" applyAlignment="1">
      <alignment horizontal="right"/>
    </xf>
    <xf numFmtId="0" fontId="3" fillId="0" borderId="16" xfId="0" applyFont="1" applyBorder="1" applyAlignment="1">
      <alignment/>
    </xf>
    <xf numFmtId="3" fontId="15" fillId="38" borderId="0" xfId="0" applyNumberFormat="1" applyFont="1" applyFill="1" applyAlignment="1">
      <alignment/>
    </xf>
    <xf numFmtId="3" fontId="0" fillId="0" borderId="0" xfId="0" applyNumberFormat="1" applyAlignment="1">
      <alignment/>
    </xf>
    <xf numFmtId="2" fontId="3" fillId="0" borderId="15" xfId="0" applyNumberFormat="1" applyFont="1" applyBorder="1" applyAlignment="1">
      <alignment/>
    </xf>
    <xf numFmtId="168" fontId="3" fillId="0" borderId="0" xfId="45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68" fontId="0" fillId="33" borderId="0" xfId="45" applyNumberFormat="1" applyFont="1" applyFill="1" applyAlignment="1">
      <alignment/>
    </xf>
    <xf numFmtId="168" fontId="1" fillId="0" borderId="0" xfId="45" applyNumberFormat="1" applyFont="1" applyAlignment="1">
      <alignment/>
    </xf>
    <xf numFmtId="0" fontId="3" fillId="0" borderId="0" xfId="0" applyFont="1" applyBorder="1" applyAlignment="1">
      <alignment/>
    </xf>
    <xf numFmtId="43" fontId="0" fillId="0" borderId="0" xfId="45" applyFont="1" applyAlignment="1">
      <alignment/>
    </xf>
    <xf numFmtId="0" fontId="0" fillId="0" borderId="10" xfId="0" applyBorder="1" applyAlignment="1">
      <alignment horizontal="right"/>
    </xf>
    <xf numFmtId="168" fontId="1" fillId="0" borderId="10" xfId="45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68" fontId="3" fillId="0" borderId="10" xfId="45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43" fontId="0" fillId="0" borderId="20" xfId="45" applyFont="1" applyBorder="1" applyAlignment="1">
      <alignment/>
    </xf>
    <xf numFmtId="2" fontId="0" fillId="0" borderId="20" xfId="0" applyNumberFormat="1" applyBorder="1" applyAlignment="1">
      <alignment/>
    </xf>
    <xf numFmtId="0" fontId="3" fillId="0" borderId="0" xfId="0" applyFont="1" applyAlignment="1">
      <alignment horizontal="right"/>
    </xf>
    <xf numFmtId="43" fontId="3" fillId="0" borderId="19" xfId="0" applyNumberFormat="1" applyFont="1" applyBorder="1" applyAlignment="1">
      <alignment/>
    </xf>
    <xf numFmtId="168" fontId="3" fillId="0" borderId="20" xfId="71" applyNumberFormat="1" applyFont="1" applyBorder="1" applyAlignment="1">
      <alignment/>
    </xf>
    <xf numFmtId="0" fontId="3" fillId="0" borderId="21" xfId="0" applyFont="1" applyBorder="1" applyAlignment="1">
      <alignment/>
    </xf>
    <xf numFmtId="0" fontId="62" fillId="0" borderId="0" xfId="0" applyFont="1" applyAlignment="1">
      <alignment horizontal="right"/>
    </xf>
    <xf numFmtId="2" fontId="56" fillId="0" borderId="0" xfId="0" applyNumberFormat="1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164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4" fontId="5" fillId="33" borderId="0" xfId="65" applyNumberFormat="1" applyFont="1" applyFill="1" applyBorder="1">
      <alignment/>
      <protection/>
    </xf>
    <xf numFmtId="168" fontId="0" fillId="33" borderId="10" xfId="45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0" fontId="0" fillId="33" borderId="0" xfId="0" applyNumberFormat="1" applyFill="1" applyAlignment="1">
      <alignment/>
    </xf>
    <xf numFmtId="10" fontId="0" fillId="0" borderId="0" xfId="71" applyNumberFormat="1" applyFont="1" applyAlignment="1">
      <alignment/>
    </xf>
    <xf numFmtId="3" fontId="0" fillId="0" borderId="1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168" fontId="0" fillId="0" borderId="0" xfId="45" applyNumberFormat="1" applyFont="1" applyAlignment="1">
      <alignment/>
    </xf>
    <xf numFmtId="171" fontId="0" fillId="33" borderId="0" xfId="0" applyNumberFormat="1" applyFill="1" applyAlignment="1">
      <alignment/>
    </xf>
    <xf numFmtId="168" fontId="56" fillId="0" borderId="24" xfId="0" applyNumberFormat="1" applyFont="1" applyBorder="1" applyAlignment="1">
      <alignment/>
    </xf>
    <xf numFmtId="0" fontId="56" fillId="0" borderId="25" xfId="0" applyFont="1" applyBorder="1" applyAlignment="1">
      <alignment/>
    </xf>
    <xf numFmtId="43" fontId="57" fillId="33" borderId="0" xfId="0" applyNumberFormat="1" applyFont="1" applyFill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10" xfId="66" applyFont="1" applyBorder="1" applyAlignment="1">
      <alignment horizontal="center" vertical="center" wrapText="1"/>
      <protection/>
    </xf>
    <xf numFmtId="0" fontId="6" fillId="0" borderId="10" xfId="66" applyBorder="1" applyAlignment="1">
      <alignment vertical="center"/>
      <protection/>
    </xf>
    <xf numFmtId="0" fontId="8" fillId="0" borderId="14" xfId="66" applyFont="1" applyBorder="1" applyAlignment="1">
      <alignment vertical="center" wrapText="1"/>
      <protection/>
    </xf>
    <xf numFmtId="0" fontId="8" fillId="0" borderId="23" xfId="57" applyFont="1" applyBorder="1" applyAlignment="1">
      <alignment vertical="center" wrapText="1"/>
      <protection/>
    </xf>
    <xf numFmtId="0" fontId="13" fillId="0" borderId="0" xfId="66" applyFont="1" applyAlignment="1">
      <alignment horizontal="center" wrapText="1"/>
      <protection/>
    </xf>
    <xf numFmtId="0" fontId="13" fillId="0" borderId="0" xfId="57" applyFont="1" applyAlignment="1">
      <alignment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Dingell draft 1008" xfId="65"/>
    <cellStyle name="Normal_DOE-EIA Generation Data 2006 11.02.07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Nebraska's Energy Sources - 2007 - 36,394GWh</a:t>
            </a:r>
          </a:p>
        </c:rich>
      </c:tx>
      <c:layout>
        <c:manualLayout>
          <c:xMode val="factor"/>
          <c:yMode val="factor"/>
          <c:x val="-0.007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Composite!$A$26:$A$30</c:f>
              <c:strCache>
                <c:ptCount val="5"/>
                <c:pt idx="0">
                  <c:v>     Coal</c:v>
                </c:pt>
                <c:pt idx="1">
                  <c:v>     Nuclear</c:v>
                </c:pt>
                <c:pt idx="2">
                  <c:v>     Gas/Oil</c:v>
                </c:pt>
                <c:pt idx="3">
                  <c:v>     Hydro &amp; Other Renewable</c:v>
                </c:pt>
                <c:pt idx="4">
                  <c:v>     Wind Renewable</c:v>
                </c:pt>
              </c:strCache>
            </c:strRef>
          </c:cat>
          <c:val>
            <c:numRef>
              <c:f>Composite!$C$26:$C$30</c:f>
              <c:numCache>
                <c:ptCount val="5"/>
                <c:pt idx="0">
                  <c:v>21646.108</c:v>
                </c:pt>
                <c:pt idx="1">
                  <c:v>11041.532</c:v>
                </c:pt>
                <c:pt idx="2">
                  <c:v>1145.787</c:v>
                </c:pt>
                <c:pt idx="3">
                  <c:v>2372.7145818876816</c:v>
                </c:pt>
                <c:pt idx="4">
                  <c:v>187.44350565440615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USA's Energy Sources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25"/>
          <c:y val="0.4035"/>
          <c:w val="0.21225"/>
          <c:h val="0.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Energy07!$N$3:$N$9</c:f>
              <c:strCache/>
            </c:strRef>
          </c:cat>
          <c:val>
            <c:numRef>
              <c:f>Energy07!$Q$3:$Q$9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Nebraska's Energy Sources 2007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25"/>
          <c:y val="0.4035"/>
          <c:w val="0.21225"/>
          <c:h val="0.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Energy07!$N$3:$N$9</c:f>
              <c:strCache/>
            </c:strRef>
          </c:cat>
          <c:val>
            <c:numRef>
              <c:f>Energy07!$P$3:$P$9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Nebraska's Energy Sources - 2018 (10%) - 49,085 GWh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Composite!$A$26:$A$30</c:f>
              <c:strCache>
                <c:ptCount val="5"/>
                <c:pt idx="0">
                  <c:v>     Coal</c:v>
                </c:pt>
                <c:pt idx="1">
                  <c:v>     Nuclear</c:v>
                </c:pt>
                <c:pt idx="2">
                  <c:v>     Gas/Oil</c:v>
                </c:pt>
                <c:pt idx="3">
                  <c:v>     Hydro &amp; Other Renewable</c:v>
                </c:pt>
                <c:pt idx="4">
                  <c:v>     Wind Renewable</c:v>
                </c:pt>
              </c:strCache>
            </c:strRef>
          </c:cat>
          <c:val>
            <c:numRef>
              <c:f>Composite!$D$26:$D$30</c:f>
              <c:numCache>
                <c:ptCount val="5"/>
                <c:pt idx="0">
                  <c:v>29335.949999999997</c:v>
                </c:pt>
                <c:pt idx="1">
                  <c:v>9683.15</c:v>
                </c:pt>
                <c:pt idx="2">
                  <c:v>3276.5226666666663</c:v>
                </c:pt>
                <c:pt idx="3">
                  <c:v>2252.6000000000004</c:v>
                </c:pt>
                <c:pt idx="4">
                  <c:v>4536.333333333333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Nebraska's Energy Sources - 2018 (20%) - 53,570 GWh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Composite!$A$26:$A$30</c:f>
              <c:strCache>
                <c:ptCount val="5"/>
                <c:pt idx="0">
                  <c:v>     Coal</c:v>
                </c:pt>
                <c:pt idx="1">
                  <c:v>     Nuclear</c:v>
                </c:pt>
                <c:pt idx="2">
                  <c:v>     Gas/Oil</c:v>
                </c:pt>
                <c:pt idx="3">
                  <c:v>     Hydro &amp; Other Renewable</c:v>
                </c:pt>
                <c:pt idx="4">
                  <c:v>     Wind Renewable</c:v>
                </c:pt>
              </c:strCache>
            </c:strRef>
          </c:cat>
          <c:val>
            <c:numRef>
              <c:f>Composite!$E$26:$E$30</c:f>
              <c:numCache>
                <c:ptCount val="5"/>
                <c:pt idx="0">
                  <c:v>29698.883333333335</c:v>
                </c:pt>
                <c:pt idx="1">
                  <c:v>9683.550000000001</c:v>
                </c:pt>
                <c:pt idx="2">
                  <c:v>3045.7999999999997</c:v>
                </c:pt>
                <c:pt idx="3">
                  <c:v>2252.6000000000004</c:v>
                </c:pt>
                <c:pt idx="4">
                  <c:v>8889.199999999999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Nebraska's Energy Sources - 2018 (40%) - 58,308 GWh</a:t>
            </a:r>
          </a:p>
        </c:rich>
      </c:tx>
      <c:layout>
        <c:manualLayout>
          <c:xMode val="factor"/>
          <c:yMode val="factor"/>
          <c:x val="-0.040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Composite!$A$26:$A$30</c:f>
              <c:strCache>
                <c:ptCount val="5"/>
                <c:pt idx="0">
                  <c:v>     Coal</c:v>
                </c:pt>
                <c:pt idx="1">
                  <c:v>     Nuclear</c:v>
                </c:pt>
                <c:pt idx="2">
                  <c:v>     Gas/Oil</c:v>
                </c:pt>
                <c:pt idx="3">
                  <c:v>     Hydro &amp; Other Renewable</c:v>
                </c:pt>
                <c:pt idx="4">
                  <c:v>     Wind Renewable</c:v>
                </c:pt>
              </c:strCache>
            </c:strRef>
          </c:cat>
          <c:val>
            <c:numRef>
              <c:f>Composite!$F$26:$F$30</c:f>
              <c:numCache>
                <c:ptCount val="5"/>
                <c:pt idx="0">
                  <c:v>27285.45</c:v>
                </c:pt>
                <c:pt idx="1">
                  <c:v>9682.449999999999</c:v>
                </c:pt>
                <c:pt idx="2">
                  <c:v>2086.4</c:v>
                </c:pt>
                <c:pt idx="3">
                  <c:v>2252.6000000000004</c:v>
                </c:pt>
                <c:pt idx="4">
                  <c:v>17001.433333333334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Composite!$C$74</c:f>
        </c:strRef>
      </c:tx>
      <c:layout>
        <c:manualLayout>
          <c:xMode val="factor"/>
          <c:yMode val="factor"/>
          <c:x val="-0.019"/>
          <c:y val="-0.02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(Composite!$A$23,Composite!$A$31)</c:f>
              <c:strCache>
                <c:ptCount val="2"/>
                <c:pt idx="0">
                  <c:v>Neb Load + Losses</c:v>
                </c:pt>
                <c:pt idx="1">
                  <c:v>Net Neb Exports</c:v>
                </c:pt>
              </c:strCache>
            </c:strRef>
          </c:cat>
          <c:val>
            <c:numRef>
              <c:f>(Composite!$C$23,Composite!$C$31)</c:f>
              <c:numCache>
                <c:ptCount val="2"/>
                <c:pt idx="0">
                  <c:v>30505.399568034558</c:v>
                </c:pt>
                <c:pt idx="1">
                  <c:v>5888.185519507522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Composite!$D$74</c:f>
        </c:strRef>
      </c:tx>
      <c:layout>
        <c:manualLayout>
          <c:xMode val="factor"/>
          <c:yMode val="factor"/>
          <c:x val="-0.009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(Composite!$A$23,Composite!$A$31)</c:f>
              <c:strCache>
                <c:ptCount val="2"/>
                <c:pt idx="0">
                  <c:v>Neb Load + Losses</c:v>
                </c:pt>
                <c:pt idx="1">
                  <c:v>Net Neb Exports</c:v>
                </c:pt>
              </c:strCache>
            </c:strRef>
          </c:cat>
          <c:val>
            <c:numRef>
              <c:f>(Composite!$D$23,Composite!$D$31)</c:f>
              <c:numCache>
                <c:ptCount val="2"/>
                <c:pt idx="0">
                  <c:v>39405</c:v>
                </c:pt>
                <c:pt idx="1">
                  <c:v>9679.555999999999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Composite!$E$74</c:f>
        </c:strRef>
      </c:tx>
      <c:layout>
        <c:manualLayout>
          <c:xMode val="factor"/>
          <c:yMode val="factor"/>
          <c:x val="-0.0095"/>
          <c:y val="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(Composite!$A$23,Composite!$A$31)</c:f>
              <c:strCache>
                <c:ptCount val="2"/>
                <c:pt idx="0">
                  <c:v>Neb Load + Losses</c:v>
                </c:pt>
                <c:pt idx="1">
                  <c:v>Net Neb Exports</c:v>
                </c:pt>
              </c:strCache>
            </c:strRef>
          </c:cat>
          <c:val>
            <c:numRef>
              <c:f>(Composite!$E$23,Composite!$E$31)</c:f>
              <c:numCache>
                <c:ptCount val="2"/>
                <c:pt idx="0">
                  <c:v>39405</c:v>
                </c:pt>
                <c:pt idx="1">
                  <c:v>14165.033333333333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Composite!$F$74</c:f>
        </c:strRef>
      </c:tx>
      <c:layout>
        <c:manualLayout>
          <c:xMode val="factor"/>
          <c:yMode val="factor"/>
          <c:x val="-0.026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9275"/>
          <c:y val="0.40325"/>
          <c:w val="0.21175"/>
          <c:h val="0.3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(Composite!$A$23,Composite!$A$31)</c:f>
              <c:strCache>
                <c:ptCount val="2"/>
                <c:pt idx="0">
                  <c:v>Neb Load + Losses</c:v>
                </c:pt>
                <c:pt idx="1">
                  <c:v>Net Neb Exports</c:v>
                </c:pt>
              </c:strCache>
            </c:strRef>
          </c:cat>
          <c:val>
            <c:numRef>
              <c:f>(Composite!$F$23,Composite!$F$31)</c:f>
              <c:numCache>
                <c:ptCount val="2"/>
                <c:pt idx="0">
                  <c:v>39405</c:v>
                </c:pt>
                <c:pt idx="1">
                  <c:v>18903.333333333332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Energy07!$C$31</c:f>
        </c:strRef>
      </c:tx>
      <c:layout>
        <c:manualLayout>
          <c:xMode val="factor"/>
          <c:yMode val="factor"/>
          <c:x val="-0.02"/>
          <c:y val="0.04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5"/>
          <c:y val="0.53725"/>
          <c:w val="0.4085"/>
          <c:h val="0.2435"/>
        </c:manualLayout>
      </c:layout>
      <c:pie3DChart>
        <c:varyColors val="1"/>
        <c:ser>
          <c:idx val="0"/>
          <c:order val="0"/>
          <c:tx>
            <c:v>Figure 2.1.2-1 - Nebraska Electric Utility Generation by Fuel Source                            (US DOE-EIA Data for 2006)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Energy07!$G$34:$G$41</c:f>
              <c:strCache/>
            </c:strRef>
          </c:cat>
          <c:val>
            <c:numRef>
              <c:f>Energy07!$H$34:$H$41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428625</xdr:colOff>
      <xdr:row>17</xdr:row>
      <xdr:rowOff>19050</xdr:rowOff>
    </xdr:to>
    <xdr:graphicFrame>
      <xdr:nvGraphicFramePr>
        <xdr:cNvPr id="1" name="Chart 4"/>
        <xdr:cNvGraphicFramePr/>
      </xdr:nvGraphicFramePr>
      <xdr:xfrm>
        <a:off x="152400" y="161925"/>
        <a:ext cx="40862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428625</xdr:colOff>
      <xdr:row>17</xdr:row>
      <xdr:rowOff>19050</xdr:rowOff>
    </xdr:to>
    <xdr:graphicFrame>
      <xdr:nvGraphicFramePr>
        <xdr:cNvPr id="2" name="Chart 4"/>
        <xdr:cNvGraphicFramePr/>
      </xdr:nvGraphicFramePr>
      <xdr:xfrm>
        <a:off x="4419600" y="161925"/>
        <a:ext cx="40862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47625</xdr:rowOff>
    </xdr:from>
    <xdr:to>
      <xdr:col>7</xdr:col>
      <xdr:colOff>419100</xdr:colOff>
      <xdr:row>38</xdr:row>
      <xdr:rowOff>66675</xdr:rowOff>
    </xdr:to>
    <xdr:graphicFrame>
      <xdr:nvGraphicFramePr>
        <xdr:cNvPr id="3" name="Chart 4"/>
        <xdr:cNvGraphicFramePr/>
      </xdr:nvGraphicFramePr>
      <xdr:xfrm>
        <a:off x="142875" y="3609975"/>
        <a:ext cx="40862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22</xdr:row>
      <xdr:rowOff>47625</xdr:rowOff>
    </xdr:from>
    <xdr:to>
      <xdr:col>14</xdr:col>
      <xdr:colOff>438150</xdr:colOff>
      <xdr:row>38</xdr:row>
      <xdr:rowOff>66675</xdr:rowOff>
    </xdr:to>
    <xdr:graphicFrame>
      <xdr:nvGraphicFramePr>
        <xdr:cNvPr id="4" name="Chart 4"/>
        <xdr:cNvGraphicFramePr/>
      </xdr:nvGraphicFramePr>
      <xdr:xfrm>
        <a:off x="4429125" y="3609975"/>
        <a:ext cx="40862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428625</xdr:colOff>
      <xdr:row>17</xdr:row>
      <xdr:rowOff>19050</xdr:rowOff>
    </xdr:to>
    <xdr:graphicFrame>
      <xdr:nvGraphicFramePr>
        <xdr:cNvPr id="1" name="Chart 4"/>
        <xdr:cNvGraphicFramePr/>
      </xdr:nvGraphicFramePr>
      <xdr:xfrm>
        <a:off x="152400" y="161925"/>
        <a:ext cx="40862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428625</xdr:colOff>
      <xdr:row>17</xdr:row>
      <xdr:rowOff>19050</xdr:rowOff>
    </xdr:to>
    <xdr:graphicFrame>
      <xdr:nvGraphicFramePr>
        <xdr:cNvPr id="2" name="Chart 4"/>
        <xdr:cNvGraphicFramePr/>
      </xdr:nvGraphicFramePr>
      <xdr:xfrm>
        <a:off x="4419600" y="161925"/>
        <a:ext cx="40862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47625</xdr:rowOff>
    </xdr:from>
    <xdr:to>
      <xdr:col>7</xdr:col>
      <xdr:colOff>419100</xdr:colOff>
      <xdr:row>38</xdr:row>
      <xdr:rowOff>66675</xdr:rowOff>
    </xdr:to>
    <xdr:graphicFrame>
      <xdr:nvGraphicFramePr>
        <xdr:cNvPr id="3" name="Chart 4"/>
        <xdr:cNvGraphicFramePr/>
      </xdr:nvGraphicFramePr>
      <xdr:xfrm>
        <a:off x="142875" y="3609975"/>
        <a:ext cx="40862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22</xdr:row>
      <xdr:rowOff>47625</xdr:rowOff>
    </xdr:from>
    <xdr:to>
      <xdr:col>14</xdr:col>
      <xdr:colOff>438150</xdr:colOff>
      <xdr:row>38</xdr:row>
      <xdr:rowOff>66675</xdr:rowOff>
    </xdr:to>
    <xdr:graphicFrame>
      <xdr:nvGraphicFramePr>
        <xdr:cNvPr id="4" name="Chart 4"/>
        <xdr:cNvGraphicFramePr/>
      </xdr:nvGraphicFramePr>
      <xdr:xfrm>
        <a:off x="4429125" y="3609975"/>
        <a:ext cx="40862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10</xdr:row>
      <xdr:rowOff>85725</xdr:rowOff>
    </xdr:from>
    <xdr:to>
      <xdr:col>12</xdr:col>
      <xdr:colOff>171450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5772150" y="3067050"/>
        <a:ext cx="4371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30</xdr:row>
      <xdr:rowOff>161925</xdr:rowOff>
    </xdr:from>
    <xdr:to>
      <xdr:col>18</xdr:col>
      <xdr:colOff>600075</xdr:colOff>
      <xdr:row>43</xdr:row>
      <xdr:rowOff>123825</xdr:rowOff>
    </xdr:to>
    <xdr:graphicFrame>
      <xdr:nvGraphicFramePr>
        <xdr:cNvPr id="2" name="Chart 4"/>
        <xdr:cNvGraphicFramePr/>
      </xdr:nvGraphicFramePr>
      <xdr:xfrm>
        <a:off x="10325100" y="6381750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18</xdr:col>
      <xdr:colOff>600075</xdr:colOff>
      <xdr:row>29</xdr:row>
      <xdr:rowOff>133350</xdr:rowOff>
    </xdr:to>
    <xdr:graphicFrame>
      <xdr:nvGraphicFramePr>
        <xdr:cNvPr id="3" name="Chart 4"/>
        <xdr:cNvGraphicFramePr/>
      </xdr:nvGraphicFramePr>
      <xdr:xfrm>
        <a:off x="10325100" y="3629025"/>
        <a:ext cx="40862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kalle\My%20Documents\NPA\2009\Neb%20Energy%20Resources%202007%20(added%20tab%20from%20NPA%20Renew%202007%20Study%20for%20NPPD%20Jeanne%20Schieffer%2009.08.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hgChart"/>
      <sheetName val="GhgEmissTargets"/>
      <sheetName val="Energy Inputs"/>
      <sheetName val="Capacity"/>
      <sheetName val="Energy06"/>
      <sheetName val="Energy07"/>
      <sheetName val="Abbrev"/>
      <sheetName val="NPPD"/>
    </sheetNames>
    <sheetDataSet>
      <sheetData sheetId="2">
        <row r="16">
          <cell r="B16">
            <v>1972298</v>
          </cell>
          <cell r="C16">
            <v>1247711</v>
          </cell>
          <cell r="D16">
            <v>768486</v>
          </cell>
        </row>
      </sheetData>
      <sheetData sheetId="7">
        <row r="32">
          <cell r="E32">
            <v>37607.91245791246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60">
      <selection activeCell="C62" sqref="C62"/>
    </sheetView>
  </sheetViews>
  <sheetFormatPr defaultColWidth="9.140625" defaultRowHeight="12.75"/>
  <cols>
    <col min="1" max="1" width="3.7109375" style="0" customWidth="1"/>
    <col min="2" max="2" width="29.421875" style="0" customWidth="1"/>
    <col min="3" max="3" width="16.00390625" style="1" customWidth="1"/>
    <col min="4" max="4" width="16.8515625" style="1" customWidth="1"/>
    <col min="5" max="5" width="18.28125" style="1" customWidth="1"/>
    <col min="6" max="6" width="17.7109375" style="1" customWidth="1"/>
    <col min="7" max="7" width="9.140625" style="0" customWidth="1"/>
    <col min="8" max="8" width="28.57421875" style="0" customWidth="1"/>
  </cols>
  <sheetData>
    <row r="1" spans="2:8" ht="18">
      <c r="B1" s="240" t="s">
        <v>356</v>
      </c>
      <c r="C1" s="240"/>
      <c r="D1" s="240"/>
      <c r="E1" s="240"/>
      <c r="F1" s="240"/>
      <c r="G1" s="240"/>
      <c r="H1" s="240"/>
    </row>
    <row r="2" spans="3:7" ht="12.75">
      <c r="C2" s="1" t="s">
        <v>1</v>
      </c>
      <c r="D2" s="1" t="s">
        <v>0</v>
      </c>
      <c r="E2" s="1" t="s">
        <v>206</v>
      </c>
      <c r="F2" s="1" t="s">
        <v>207</v>
      </c>
      <c r="G2" s="4" t="s">
        <v>34</v>
      </c>
    </row>
    <row r="3" spans="3:6" ht="12.75">
      <c r="C3" s="1">
        <v>2007</v>
      </c>
      <c r="D3" s="3" t="s">
        <v>24</v>
      </c>
      <c r="E3" s="1" t="s">
        <v>25</v>
      </c>
      <c r="F3" s="1" t="s">
        <v>26</v>
      </c>
    </row>
    <row r="4" ht="15">
      <c r="B4" s="139" t="s">
        <v>215</v>
      </c>
    </row>
    <row r="5" spans="2:8" ht="12.75">
      <c r="B5" s="137" t="s">
        <v>6</v>
      </c>
      <c r="C5" s="8" t="s">
        <v>352</v>
      </c>
      <c r="D5" s="9">
        <v>1249</v>
      </c>
      <c r="E5" s="9">
        <v>2488</v>
      </c>
      <c r="F5" s="9">
        <v>4727</v>
      </c>
      <c r="G5" s="242" t="s">
        <v>13</v>
      </c>
      <c r="H5" s="238"/>
    </row>
    <row r="6" spans="2:8" ht="14.25" customHeight="1">
      <c r="B6" s="137" t="s">
        <v>8</v>
      </c>
      <c r="C6" s="8"/>
      <c r="D6" s="9">
        <v>250</v>
      </c>
      <c r="E6" s="9">
        <v>311</v>
      </c>
      <c r="F6" s="9">
        <v>430</v>
      </c>
      <c r="G6" s="242" t="s">
        <v>13</v>
      </c>
      <c r="H6" s="238"/>
    </row>
    <row r="7" spans="2:8" ht="25.5">
      <c r="B7" s="137" t="s">
        <v>9</v>
      </c>
      <c r="C7" s="8"/>
      <c r="D7" s="8" t="s">
        <v>11</v>
      </c>
      <c r="E7" s="8" t="s">
        <v>11</v>
      </c>
      <c r="F7" s="8" t="s">
        <v>12</v>
      </c>
      <c r="G7" s="242" t="s">
        <v>14</v>
      </c>
      <c r="H7" s="238"/>
    </row>
    <row r="8" spans="2:8" ht="25.5">
      <c r="B8" s="137" t="s">
        <v>10</v>
      </c>
      <c r="C8" s="8"/>
      <c r="D8" s="11">
        <v>0.0294</v>
      </c>
      <c r="E8" s="11">
        <v>0.0475</v>
      </c>
      <c r="F8" s="11">
        <v>0.0655</v>
      </c>
      <c r="G8" s="242" t="s">
        <v>15</v>
      </c>
      <c r="H8" s="238"/>
    </row>
    <row r="9" spans="2:8" ht="15.75" customHeight="1">
      <c r="B9" s="137" t="s">
        <v>17</v>
      </c>
      <c r="C9" s="8" t="s">
        <v>353</v>
      </c>
      <c r="D9" s="12">
        <f>AVERAGE('2004'!D11,'2005'!D11,'2006'!D11)</f>
        <v>0.41466963525158024</v>
      </c>
      <c r="E9" s="12">
        <f>AVERAGE('2004'!E11,'2005'!E11,'2006'!E11)</f>
        <v>0.40771043474430685</v>
      </c>
      <c r="F9" s="12">
        <f>AVERAGE('2004'!F11,'2005'!F11,'2006'!F11)</f>
        <v>0.4105837800207945</v>
      </c>
      <c r="G9" s="242" t="s">
        <v>28</v>
      </c>
      <c r="H9" s="238"/>
    </row>
    <row r="10" spans="2:8" ht="12.75" customHeight="1">
      <c r="B10" s="137" t="s">
        <v>7</v>
      </c>
      <c r="C10" s="8" t="s">
        <v>354</v>
      </c>
      <c r="D10" s="9">
        <f>AVERAGE('2004'!D12,'2005'!D12,'2006'!D12)</f>
        <v>4537</v>
      </c>
      <c r="E10" s="9">
        <f>AVERAGE('2004'!E12,'2005'!E12,'2006'!E12)</f>
        <v>8886</v>
      </c>
      <c r="F10" s="9">
        <f>AVERAGE('2004'!F12,'2005'!F12,'2006'!F12)</f>
        <v>17001.666666666668</v>
      </c>
      <c r="G10" s="242" t="s">
        <v>28</v>
      </c>
      <c r="H10" s="238"/>
    </row>
    <row r="11" spans="2:8" ht="27.75" customHeight="1">
      <c r="B11" s="137" t="str">
        <f>"Number of Wind Turbines (at "&amp;TEXT(G11,"0.0")&amp;" MW each)"</f>
        <v>Number of Wind Turbines (at 3.0 MW each)</v>
      </c>
      <c r="C11" s="144" t="s">
        <v>355</v>
      </c>
      <c r="D11" s="9">
        <f>ROUNDUP(D5/$G11,0)</f>
        <v>417</v>
      </c>
      <c r="E11" s="9">
        <f>ROUNDUP(E5/$G11,0)</f>
        <v>830</v>
      </c>
      <c r="F11" s="9">
        <f>ROUNDUP(F5/$G11,0)</f>
        <v>1576</v>
      </c>
      <c r="G11" s="13">
        <v>3</v>
      </c>
      <c r="H11" s="7" t="s">
        <v>32</v>
      </c>
    </row>
    <row r="12" spans="2:8" ht="39" customHeight="1">
      <c r="B12" s="137" t="str">
        <f>"Land Use Under Lease in Acres (at "&amp;TEXT($G12,"0")&amp;" acres per MW each)"</f>
        <v>Land Use Under Lease in Acres (at 100 acres per MW each)</v>
      </c>
      <c r="C12" s="8"/>
      <c r="D12" s="9">
        <f>D5*$G12</f>
        <v>124900</v>
      </c>
      <c r="E12" s="9">
        <f>E5*$G12</f>
        <v>248800</v>
      </c>
      <c r="F12" s="9">
        <f>F5*$G12</f>
        <v>472700</v>
      </c>
      <c r="G12" s="13">
        <v>100</v>
      </c>
      <c r="H12" s="7" t="s">
        <v>31</v>
      </c>
    </row>
    <row r="13" spans="2:8" ht="39.75" customHeight="1">
      <c r="B13" s="137" t="str">
        <f>"Land Use Disturbed in Acres (at "&amp;TEXT($G13,"0.00")&amp;" acres per MW)"</f>
        <v>Land Use Disturbed in Acres (at 5.33 acres per MW)</v>
      </c>
      <c r="C13" s="8"/>
      <c r="D13" s="9">
        <f>D5*$G13</f>
        <v>6657.17</v>
      </c>
      <c r="E13" s="9">
        <f>E5*$G13</f>
        <v>13261.04</v>
      </c>
      <c r="F13" s="9">
        <f>F5*$G13</f>
        <v>25194.91</v>
      </c>
      <c r="G13" s="13">
        <v>5.33</v>
      </c>
      <c r="H13" s="137" t="s">
        <v>254</v>
      </c>
    </row>
    <row r="14" spans="2:8" ht="38.25" customHeight="1">
      <c r="B14" s="137" t="str">
        <f>"Annual Purchase Cost of Wind Generation in Millions of 2009$ (at "&amp;TEXT(G14:G14,"$0")&amp;"/MWh)"</f>
        <v>Annual Purchase Cost of Wind Generation in Millions of 2009$ (at $50/MWh)</v>
      </c>
      <c r="C14" s="8"/>
      <c r="D14" s="15">
        <f>D10*$G14/1000</f>
        <v>226.85</v>
      </c>
      <c r="E14" s="15">
        <f>E10*$G14/1000</f>
        <v>444.3</v>
      </c>
      <c r="F14" s="15">
        <f>F10*$G14/1000</f>
        <v>850.0833333333334</v>
      </c>
      <c r="G14" s="16">
        <v>50</v>
      </c>
      <c r="H14" s="7" t="s">
        <v>33</v>
      </c>
    </row>
    <row r="15" spans="2:8" ht="38.25" customHeight="1">
      <c r="B15" s="137" t="s">
        <v>109</v>
      </c>
      <c r="C15" s="8"/>
      <c r="D15" s="15">
        <f>D5*$G15/1000</f>
        <v>2622.9</v>
      </c>
      <c r="E15" s="15">
        <f>E5*$G15/1000</f>
        <v>5224.8</v>
      </c>
      <c r="F15" s="15">
        <f>F5*$G15/1000</f>
        <v>9926.7</v>
      </c>
      <c r="G15" s="16">
        <v>2100</v>
      </c>
      <c r="H15" s="7" t="s">
        <v>108</v>
      </c>
    </row>
    <row r="16" spans="2:8" ht="12.75" customHeight="1">
      <c r="B16" s="139" t="s">
        <v>216</v>
      </c>
      <c r="C16" s="8"/>
      <c r="D16" s="15"/>
      <c r="E16" s="15"/>
      <c r="F16" s="15"/>
      <c r="G16" s="15"/>
      <c r="H16" s="10"/>
    </row>
    <row r="17" spans="2:6" ht="12.75">
      <c r="B17" s="136" t="s">
        <v>105</v>
      </c>
      <c r="D17" s="46">
        <f>Overlay!F30</f>
        <v>178.63055555555556</v>
      </c>
      <c r="E17" s="46">
        <f>Overlay!G30</f>
        <v>1051.5166666666667</v>
      </c>
      <c r="F17" s="46">
        <f>Overlay!H30</f>
        <v>1299.4953703703704</v>
      </c>
    </row>
    <row r="18" spans="2:6" ht="25.5">
      <c r="B18" s="136" t="s">
        <v>106</v>
      </c>
      <c r="D18" s="15">
        <f>Overlay!F31</f>
        <v>15.403172000000001</v>
      </c>
      <c r="E18" s="15">
        <f>Overlay!G31</f>
        <v>174.4717424</v>
      </c>
      <c r="F18" s="15">
        <f>Overlay!H31</f>
        <v>194.76090906666667</v>
      </c>
    </row>
    <row r="19" spans="2:6" ht="25.5">
      <c r="B19" s="136" t="s">
        <v>107</v>
      </c>
      <c r="D19" s="15">
        <f>Overlay!F32</f>
        <v>192.53965</v>
      </c>
      <c r="E19" s="15">
        <f>Overlay!G32</f>
        <v>2180.8967800000005</v>
      </c>
      <c r="F19" s="15">
        <f>Overlay!H32</f>
        <v>2434.511363333334</v>
      </c>
    </row>
    <row r="20" spans="2:6" ht="15">
      <c r="B20" s="139" t="s">
        <v>217</v>
      </c>
      <c r="D20" s="15"/>
      <c r="E20" s="15"/>
      <c r="F20" s="15"/>
    </row>
    <row r="21" spans="2:6" ht="25.5">
      <c r="B21" s="137" t="s">
        <v>258</v>
      </c>
      <c r="C21" s="153">
        <f>6400*95%</f>
        <v>6080</v>
      </c>
      <c r="D21" s="153">
        <v>7489</v>
      </c>
      <c r="E21" s="153">
        <v>7489</v>
      </c>
      <c r="F21" s="153">
        <v>7489</v>
      </c>
    </row>
    <row r="22" spans="2:6" ht="12.75">
      <c r="B22" s="137" t="s">
        <v>257</v>
      </c>
      <c r="C22" s="149">
        <f>C23/C21/8.76</f>
        <v>0.5727551889576303</v>
      </c>
      <c r="D22" s="149">
        <f>D23/D21/8.76</f>
        <v>0.6006526467128958</v>
      </c>
      <c r="E22" s="149">
        <f>E23/E21/8.76</f>
        <v>0.6006526467128958</v>
      </c>
      <c r="F22" s="149">
        <f>F23/F21/8.76</f>
        <v>0.6006526467128958</v>
      </c>
    </row>
    <row r="23" spans="1:8" ht="38.25" customHeight="1">
      <c r="A23" s="10" t="s">
        <v>212</v>
      </c>
      <c r="B23" s="137" t="s">
        <v>203</v>
      </c>
      <c r="C23" s="150">
        <f>28248/(1-7.4%)</f>
        <v>30505.399568034558</v>
      </c>
      <c r="D23" s="150">
        <v>39405</v>
      </c>
      <c r="E23" s="150">
        <v>39405</v>
      </c>
      <c r="F23" s="150">
        <v>39405</v>
      </c>
      <c r="G23" s="239" t="s">
        <v>205</v>
      </c>
      <c r="H23" s="239"/>
    </row>
    <row r="24" spans="1:8" ht="48.75" customHeight="1">
      <c r="A24" s="137"/>
      <c r="B24" s="137" t="s">
        <v>256</v>
      </c>
      <c r="C24" s="149">
        <f>C23/(C23+(204804)/(1-7.5%))</f>
        <v>0.1210939559409197</v>
      </c>
      <c r="D24" s="149">
        <f>D23/(D23+225134)</f>
        <v>0.1489572425993899</v>
      </c>
      <c r="E24" s="149">
        <f>E23/(E23+225134)</f>
        <v>0.1489572425993899</v>
      </c>
      <c r="F24" s="149">
        <f>F23/(F23+225134)</f>
        <v>0.1489572425993899</v>
      </c>
      <c r="G24" s="241" t="s">
        <v>255</v>
      </c>
      <c r="H24" s="241"/>
    </row>
    <row r="25" spans="1:6" s="14" customFormat="1" ht="12.75" customHeight="1">
      <c r="A25" s="10" t="s">
        <v>213</v>
      </c>
      <c r="B25" s="137" t="s">
        <v>114</v>
      </c>
      <c r="C25" s="150">
        <f>SUM(C26:C30)</f>
        <v>36393.58508754208</v>
      </c>
      <c r="D25" s="150">
        <f>AVERAGE('2004'!D22,'2005'!D22,'2006'!D22)</f>
        <v>49084.556000000004</v>
      </c>
      <c r="E25" s="150">
        <f>AVERAGE('2004'!E22,'2005'!E22,'2006'!E22)</f>
        <v>53570.033333333326</v>
      </c>
      <c r="F25" s="150">
        <f>AVERAGE('2004'!F22,'2005'!F22,'2006'!F22)</f>
        <v>58308.333333333336</v>
      </c>
    </row>
    <row r="26" spans="1:6" s="14" customFormat="1" ht="12.75" customHeight="1">
      <c r="A26" s="7" t="s">
        <v>112</v>
      </c>
      <c r="B26" s="137" t="s">
        <v>112</v>
      </c>
      <c r="C26" s="151">
        <f>Energy07!H49</f>
        <v>21646.108</v>
      </c>
      <c r="D26" s="150">
        <f>AVERAGE('2004'!D23,'2005'!D23,'2006'!D23)</f>
        <v>29335.949999999997</v>
      </c>
      <c r="E26" s="150">
        <f>AVERAGE('2004'!E23,'2005'!E23,'2006'!E23)</f>
        <v>29698.883333333335</v>
      </c>
      <c r="F26" s="150">
        <f>AVERAGE('2004'!F23,'2005'!F23,'2006'!F23)</f>
        <v>27285.45</v>
      </c>
    </row>
    <row r="27" spans="1:6" s="14" customFormat="1" ht="12.75" customHeight="1">
      <c r="A27" s="7" t="s">
        <v>113</v>
      </c>
      <c r="B27" s="137" t="s">
        <v>113</v>
      </c>
      <c r="C27" s="151">
        <f>Energy07!H50</f>
        <v>11041.532</v>
      </c>
      <c r="D27" s="150">
        <f>AVERAGE('2004'!D24,'2005'!D24,'2006'!D24)</f>
        <v>9683.15</v>
      </c>
      <c r="E27" s="150">
        <f>AVERAGE('2004'!E24,'2005'!E24,'2006'!E24)</f>
        <v>9683.550000000001</v>
      </c>
      <c r="F27" s="150">
        <f>AVERAGE('2004'!F24,'2005'!F24,'2006'!F24)</f>
        <v>9682.449999999999</v>
      </c>
    </row>
    <row r="28" spans="1:6" s="14" customFormat="1" ht="12.75" customHeight="1">
      <c r="A28" s="7" t="s">
        <v>200</v>
      </c>
      <c r="B28" s="137" t="s">
        <v>200</v>
      </c>
      <c r="C28" s="151">
        <f>Energy07!H51</f>
        <v>1145.787</v>
      </c>
      <c r="D28" s="150">
        <f>AVERAGE('2004'!D25,'2005'!D25,'2006'!D25)</f>
        <v>3276.5226666666663</v>
      </c>
      <c r="E28" s="150">
        <f>AVERAGE('2004'!E25,'2005'!E25,'2006'!E25)</f>
        <v>3045.7999999999997</v>
      </c>
      <c r="F28" s="150">
        <f>AVERAGE('2004'!F25,'2005'!F25,'2006'!F25)</f>
        <v>2086.4</v>
      </c>
    </row>
    <row r="29" spans="1:6" s="14" customFormat="1" ht="12.75" customHeight="1">
      <c r="A29" s="7" t="s">
        <v>201</v>
      </c>
      <c r="B29" s="137" t="s">
        <v>201</v>
      </c>
      <c r="C29" s="151">
        <f>Energy07!H52</f>
        <v>2372.7145818876816</v>
      </c>
      <c r="D29" s="150">
        <f>AVERAGE('2004'!D26,'2005'!D26,'2006'!D26)</f>
        <v>2252.6000000000004</v>
      </c>
      <c r="E29" s="150">
        <f>AVERAGE('2004'!E26,'2005'!E26,'2006'!E26)</f>
        <v>2252.6000000000004</v>
      </c>
      <c r="F29" s="150">
        <f>AVERAGE('2004'!F26,'2005'!F26,'2006'!F26)</f>
        <v>2252.6000000000004</v>
      </c>
    </row>
    <row r="30" spans="1:6" s="14" customFormat="1" ht="12.75" customHeight="1">
      <c r="A30" s="7" t="s">
        <v>202</v>
      </c>
      <c r="B30" s="137" t="s">
        <v>202</v>
      </c>
      <c r="C30" s="151">
        <f>Energy07!H53</f>
        <v>187.44350565440615</v>
      </c>
      <c r="D30" s="150">
        <f>AVERAGE('2004'!D27,'2005'!D27,'2006'!D27)</f>
        <v>4536.333333333333</v>
      </c>
      <c r="E30" s="150">
        <f>AVERAGE('2004'!E27,'2005'!E27,'2006'!E27)</f>
        <v>8889.199999999999</v>
      </c>
      <c r="F30" s="150">
        <f>AVERAGE('2004'!F27,'2005'!F27,'2006'!F27)</f>
        <v>17001.433333333334</v>
      </c>
    </row>
    <row r="31" spans="1:6" s="14" customFormat="1" ht="12.75" customHeight="1">
      <c r="A31" s="10" t="s">
        <v>214</v>
      </c>
      <c r="B31" s="137" t="s">
        <v>204</v>
      </c>
      <c r="C31" s="152">
        <f>C25-C23</f>
        <v>5888.185519507522</v>
      </c>
      <c r="D31" s="150">
        <f>AVERAGE('2004'!D28,'2005'!D28,'2006'!D28)</f>
        <v>9679.555999999999</v>
      </c>
      <c r="E31" s="150">
        <f>AVERAGE('2004'!E28,'2005'!E28,'2006'!E28)</f>
        <v>14165.033333333333</v>
      </c>
      <c r="F31" s="150">
        <f>AVERAGE('2004'!F28,'2005'!F28,'2006'!F28)</f>
        <v>18903.333333333332</v>
      </c>
    </row>
    <row r="32" ht="12.75" customHeight="1">
      <c r="B32" s="139" t="s">
        <v>218</v>
      </c>
    </row>
    <row r="33" spans="2:8" ht="25.5">
      <c r="B33" s="137" t="s">
        <v>219</v>
      </c>
      <c r="C33" s="8"/>
      <c r="D33" s="8">
        <f>AVERAGE('2004'!D29,'2005'!D29,'2006'!D29)</f>
        <v>32.620000000000005</v>
      </c>
      <c r="E33" s="142">
        <f>AVERAGE('2004'!E29,'2005'!E29,'2006'!E29)</f>
        <v>32.903333333333336</v>
      </c>
      <c r="F33" s="142">
        <f>AVERAGE('2004'!F29,'2005'!F29,'2006'!F29)</f>
        <v>29.96666666666667</v>
      </c>
      <c r="G33" s="14"/>
      <c r="H33" s="14"/>
    </row>
    <row r="34" spans="2:8" ht="38.25">
      <c r="B34" s="137" t="s">
        <v>222</v>
      </c>
      <c r="C34" s="8"/>
      <c r="D34" s="142">
        <f>$G34-D33</f>
        <v>-0.3200000000000074</v>
      </c>
      <c r="E34" s="142">
        <f>$G34-E33</f>
        <v>-0.6033333333333388</v>
      </c>
      <c r="F34" s="142">
        <f>$G34-F33</f>
        <v>2.3333333333333286</v>
      </c>
      <c r="G34" s="148">
        <v>32.3</v>
      </c>
      <c r="H34" s="137" t="s">
        <v>221</v>
      </c>
    </row>
    <row r="35" spans="2:6" ht="15">
      <c r="B35" s="143" t="s">
        <v>223</v>
      </c>
      <c r="C35" s="8"/>
      <c r="D35" s="8"/>
      <c r="E35" s="8"/>
      <c r="F35" s="8"/>
    </row>
    <row r="36" spans="2:6" ht="25.5">
      <c r="B36" s="10" t="s">
        <v>224</v>
      </c>
      <c r="C36" s="8"/>
      <c r="D36" s="8">
        <v>1.39</v>
      </c>
      <c r="E36" s="144" t="s">
        <v>227</v>
      </c>
      <c r="F36" s="8">
        <v>1.75</v>
      </c>
    </row>
    <row r="37" spans="2:6" ht="12.75">
      <c r="B37" s="10" t="s">
        <v>225</v>
      </c>
      <c r="C37" s="8"/>
      <c r="D37" s="8">
        <v>1.92</v>
      </c>
      <c r="E37" s="8" t="s">
        <v>360</v>
      </c>
      <c r="F37" s="8" t="s">
        <v>27</v>
      </c>
    </row>
    <row r="38" spans="2:6" ht="30" customHeight="1">
      <c r="B38" s="10" t="s">
        <v>226</v>
      </c>
      <c r="C38" s="8"/>
      <c r="D38" s="8">
        <v>5.41</v>
      </c>
      <c r="E38" s="8" t="s">
        <v>361</v>
      </c>
      <c r="F38" s="8" t="s">
        <v>27</v>
      </c>
    </row>
    <row r="39" spans="2:8" ht="15">
      <c r="B39" s="143" t="s">
        <v>228</v>
      </c>
      <c r="C39" s="8"/>
      <c r="D39" s="8"/>
      <c r="E39" s="8"/>
      <c r="F39" s="8"/>
      <c r="G39" s="239" t="s">
        <v>229</v>
      </c>
      <c r="H39" s="239"/>
    </row>
    <row r="40" spans="2:6" ht="25.5">
      <c r="B40" s="10" t="s">
        <v>224</v>
      </c>
      <c r="C40" s="8"/>
      <c r="D40" s="142">
        <f>D36*D10/1000</f>
        <v>6.30643</v>
      </c>
      <c r="E40" s="144" t="s">
        <v>253</v>
      </c>
      <c r="F40" s="142">
        <f>F36*F10/1000</f>
        <v>29.752916666666668</v>
      </c>
    </row>
    <row r="41" spans="2:6" ht="12.75">
      <c r="B41" s="10" t="s">
        <v>225</v>
      </c>
      <c r="C41" s="8"/>
      <c r="D41" s="142">
        <f>D37*D10/1000</f>
        <v>8.711039999999999</v>
      </c>
      <c r="E41" s="8" t="s">
        <v>358</v>
      </c>
      <c r="F41" s="8" t="s">
        <v>27</v>
      </c>
    </row>
    <row r="42" spans="2:6" ht="38.25">
      <c r="B42" s="10" t="s">
        <v>226</v>
      </c>
      <c r="C42" s="8"/>
      <c r="D42" s="142">
        <f>D38*D10/1000</f>
        <v>24.545170000000002</v>
      </c>
      <c r="E42" s="8" t="s">
        <v>359</v>
      </c>
      <c r="F42" s="8" t="s">
        <v>27</v>
      </c>
    </row>
    <row r="43" spans="2:6" ht="15">
      <c r="B43" s="143" t="s">
        <v>234</v>
      </c>
      <c r="C43" s="8"/>
      <c r="D43" s="142"/>
      <c r="E43" s="8"/>
      <c r="F43" s="8"/>
    </row>
    <row r="44" spans="2:7" ht="12.75">
      <c r="B44" s="10" t="s">
        <v>230</v>
      </c>
      <c r="C44" s="8"/>
      <c r="D44" s="142"/>
      <c r="E44" s="8" t="s">
        <v>237</v>
      </c>
      <c r="F44" s="8"/>
      <c r="G44" t="s">
        <v>240</v>
      </c>
    </row>
    <row r="45" spans="2:7" ht="14.25" customHeight="1">
      <c r="B45" s="10" t="s">
        <v>231</v>
      </c>
      <c r="C45" s="8"/>
      <c r="D45" s="142"/>
      <c r="E45" s="8" t="s">
        <v>239</v>
      </c>
      <c r="F45" s="8"/>
      <c r="G45" t="s">
        <v>241</v>
      </c>
    </row>
    <row r="46" spans="2:7" ht="12.75">
      <c r="B46" s="10" t="s">
        <v>232</v>
      </c>
      <c r="C46" s="8"/>
      <c r="D46" s="142"/>
      <c r="E46" s="145" t="s">
        <v>244</v>
      </c>
      <c r="F46" s="8"/>
      <c r="G46" t="s">
        <v>243</v>
      </c>
    </row>
    <row r="47" spans="2:7" ht="13.5" customHeight="1">
      <c r="B47" s="10" t="s">
        <v>233</v>
      </c>
      <c r="C47" s="8"/>
      <c r="D47" s="142"/>
      <c r="E47" s="145" t="s">
        <v>245</v>
      </c>
      <c r="F47" s="8"/>
      <c r="G47" t="s">
        <v>246</v>
      </c>
    </row>
    <row r="48" spans="2:6" ht="13.5" customHeight="1">
      <c r="B48" s="143" t="s">
        <v>235</v>
      </c>
      <c r="C48" s="8"/>
      <c r="D48" s="142"/>
      <c r="E48" s="8"/>
      <c r="F48" s="8"/>
    </row>
    <row r="49" spans="2:7" ht="13.5" customHeight="1">
      <c r="B49" s="10" t="s">
        <v>230</v>
      </c>
      <c r="C49" s="8"/>
      <c r="D49" s="142"/>
      <c r="E49" s="8" t="s">
        <v>236</v>
      </c>
      <c r="F49" s="8"/>
      <c r="G49" t="s">
        <v>240</v>
      </c>
    </row>
    <row r="50" spans="2:7" ht="13.5" customHeight="1">
      <c r="B50" s="10" t="s">
        <v>231</v>
      </c>
      <c r="C50" s="8"/>
      <c r="D50" s="142"/>
      <c r="E50" s="8" t="s">
        <v>238</v>
      </c>
      <c r="F50" s="8"/>
      <c r="G50" t="s">
        <v>241</v>
      </c>
    </row>
    <row r="51" spans="2:7" ht="13.5" customHeight="1">
      <c r="B51" s="10" t="s">
        <v>232</v>
      </c>
      <c r="C51" s="8"/>
      <c r="D51" s="142"/>
      <c r="E51" s="145" t="s">
        <v>242</v>
      </c>
      <c r="F51" s="8"/>
      <c r="G51" t="s">
        <v>243</v>
      </c>
    </row>
    <row r="52" spans="2:7" ht="13.5" customHeight="1">
      <c r="B52" s="10" t="s">
        <v>233</v>
      </c>
      <c r="C52" s="8"/>
      <c r="D52" s="142"/>
      <c r="E52" s="145" t="s">
        <v>247</v>
      </c>
      <c r="F52" s="8"/>
      <c r="G52" t="s">
        <v>246</v>
      </c>
    </row>
    <row r="53" spans="2:6" ht="13.5" customHeight="1">
      <c r="B53" s="143" t="s">
        <v>252</v>
      </c>
      <c r="C53" s="8"/>
      <c r="D53" s="142"/>
      <c r="E53" s="145"/>
      <c r="F53" s="8"/>
    </row>
    <row r="54" spans="2:7" ht="13.5" customHeight="1">
      <c r="B54" s="137" t="s">
        <v>248</v>
      </c>
      <c r="C54" s="8"/>
      <c r="D54" s="145">
        <v>528</v>
      </c>
      <c r="E54" s="145">
        <v>528</v>
      </c>
      <c r="F54" s="8">
        <v>528</v>
      </c>
      <c r="G54" s="14" t="s">
        <v>251</v>
      </c>
    </row>
    <row r="55" spans="2:7" ht="13.5" customHeight="1">
      <c r="B55" s="137" t="s">
        <v>249</v>
      </c>
      <c r="C55" s="8"/>
      <c r="D55" s="145">
        <v>1152</v>
      </c>
      <c r="E55" s="145">
        <v>1800</v>
      </c>
      <c r="F55" s="8">
        <v>3257</v>
      </c>
      <c r="G55" s="14" t="s">
        <v>251</v>
      </c>
    </row>
    <row r="56" spans="2:7" ht="41.25" customHeight="1">
      <c r="B56" s="154" t="s">
        <v>357</v>
      </c>
      <c r="C56" s="8"/>
      <c r="D56" s="145">
        <v>852</v>
      </c>
      <c r="E56" s="145">
        <v>1542</v>
      </c>
      <c r="F56" s="145">
        <v>3034</v>
      </c>
      <c r="G56" s="14" t="s">
        <v>251</v>
      </c>
    </row>
    <row r="57" spans="2:6" ht="13.5" customHeight="1">
      <c r="B57" s="143" t="s">
        <v>259</v>
      </c>
      <c r="C57" s="8"/>
      <c r="D57" s="142"/>
      <c r="E57" s="145"/>
      <c r="F57" s="8"/>
    </row>
    <row r="58" spans="2:8" ht="13.5" customHeight="1">
      <c r="B58" s="137" t="s">
        <v>248</v>
      </c>
      <c r="C58" s="8"/>
      <c r="D58" s="145">
        <v>295</v>
      </c>
      <c r="E58" s="145">
        <v>295</v>
      </c>
      <c r="F58" s="8">
        <v>295</v>
      </c>
      <c r="G58" s="14" t="s">
        <v>251</v>
      </c>
      <c r="H58" s="14"/>
    </row>
    <row r="59" spans="2:8" ht="13.5" customHeight="1">
      <c r="B59" s="137" t="s">
        <v>249</v>
      </c>
      <c r="C59" s="8"/>
      <c r="D59" s="145">
        <v>794</v>
      </c>
      <c r="E59" s="145">
        <v>1291</v>
      </c>
      <c r="F59" s="8">
        <v>2337</v>
      </c>
      <c r="G59" s="14" t="s">
        <v>251</v>
      </c>
      <c r="H59" s="14"/>
    </row>
    <row r="60" spans="2:8" ht="27.75" customHeight="1">
      <c r="B60" s="137" t="s">
        <v>250</v>
      </c>
      <c r="C60" s="8"/>
      <c r="D60" s="145">
        <f>D59-D58</f>
        <v>499</v>
      </c>
      <c r="E60" s="145">
        <f>E59-E58</f>
        <v>996</v>
      </c>
      <c r="F60" s="145">
        <f>F59-F58</f>
        <v>2042</v>
      </c>
      <c r="G60" s="14" t="s">
        <v>251</v>
      </c>
      <c r="H60" s="14"/>
    </row>
    <row r="61" spans="2:8" ht="15.75" customHeight="1">
      <c r="B61" s="143" t="s">
        <v>342</v>
      </c>
      <c r="C61" s="8"/>
      <c r="D61" s="145"/>
      <c r="E61" s="145"/>
      <c r="F61" s="145"/>
      <c r="G61" s="14"/>
      <c r="H61" s="14"/>
    </row>
    <row r="62" spans="2:8" ht="27" customHeight="1">
      <c r="B62" s="147" t="s">
        <v>341</v>
      </c>
      <c r="C62" s="155" t="str">
        <f>TEXT((('BaseRevReq&amp;CO2cap'!E6*C23+'BaseRevReq&amp;CO2cap'!A11*(-C23+C23/C24))/(C23/C24)),"0.00")&amp;"                            (2007 cents)"</f>
        <v>7.43                            (2007 cents)</v>
      </c>
      <c r="D62" s="155" t="str">
        <f>TEXT(100*(23742+2071)/((D23/D24)*(1-7.5%)),"0.00")&amp;"                            (2018 cents)"</f>
        <v>10.55                            (2018 cents)</v>
      </c>
      <c r="E62" s="155" t="str">
        <f>TEXT(100*(23742+2617)/((E23/E24)*(1-7.5%)),"0.00")&amp;"                            (2018 cents)"</f>
        <v>10.77                            (2018 cents)</v>
      </c>
      <c r="F62" s="155" t="str">
        <f>TEXT(100*(23742+3307)/((F23/F24)*(1-7.5%)),"0.00")&amp;"                            (2018 cents)"</f>
        <v>11.05                            (2018 cents)</v>
      </c>
      <c r="G62" s="14"/>
      <c r="H62" s="14"/>
    </row>
    <row r="63" spans="2:8" ht="16.5" customHeight="1">
      <c r="B63" s="143" t="s">
        <v>343</v>
      </c>
      <c r="C63" s="155"/>
      <c r="D63" s="155"/>
      <c r="E63" s="155"/>
      <c r="F63" s="155"/>
      <c r="G63" s="14"/>
      <c r="H63" s="14"/>
    </row>
    <row r="64" spans="2:8" ht="12.75" customHeight="1">
      <c r="B64" s="14" t="s">
        <v>345</v>
      </c>
      <c r="C64" s="155"/>
      <c r="D64" s="155"/>
      <c r="E64" s="155"/>
      <c r="F64" s="155"/>
      <c r="G64" s="14"/>
      <c r="H64" s="14"/>
    </row>
    <row r="65" spans="2:8" ht="12.75" customHeight="1">
      <c r="B65" s="14" t="s">
        <v>344</v>
      </c>
      <c r="C65" s="155"/>
      <c r="D65" s="155"/>
      <c r="E65" s="155"/>
      <c r="F65" s="155"/>
      <c r="G65" s="14"/>
      <c r="H65" s="14"/>
    </row>
    <row r="66" spans="2:8" ht="12.75" customHeight="1">
      <c r="B66" s="14" t="s">
        <v>346</v>
      </c>
      <c r="C66" s="155"/>
      <c r="D66" s="155"/>
      <c r="E66" s="155"/>
      <c r="F66" s="155"/>
      <c r="G66" s="14"/>
      <c r="H66" s="14"/>
    </row>
    <row r="67" spans="2:8" ht="12.75" customHeight="1">
      <c r="B67" s="14" t="s">
        <v>347</v>
      </c>
      <c r="C67" s="155"/>
      <c r="D67" s="155"/>
      <c r="E67" s="155"/>
      <c r="F67" s="155"/>
      <c r="G67" s="14"/>
      <c r="H67" s="14"/>
    </row>
    <row r="68" spans="2:8" ht="14.25" customHeight="1">
      <c r="B68" s="14" t="s">
        <v>348</v>
      </c>
      <c r="C68" s="155"/>
      <c r="D68" s="155"/>
      <c r="E68" s="155"/>
      <c r="F68" s="155"/>
      <c r="G68" s="14"/>
      <c r="H68" s="14"/>
    </row>
    <row r="69" spans="2:8" ht="26.25" customHeight="1">
      <c r="B69" s="238" t="s">
        <v>349</v>
      </c>
      <c r="C69" s="238"/>
      <c r="D69" s="238"/>
      <c r="E69" s="238"/>
      <c r="F69" s="238"/>
      <c r="G69" s="238"/>
      <c r="H69" s="238"/>
    </row>
    <row r="70" spans="2:8" ht="26.25" customHeight="1">
      <c r="B70" s="238" t="s">
        <v>350</v>
      </c>
      <c r="C70" s="238"/>
      <c r="D70" s="238"/>
      <c r="E70" s="238"/>
      <c r="F70" s="238"/>
      <c r="G70" s="238"/>
      <c r="H70" s="238"/>
    </row>
    <row r="71" spans="2:8" ht="26.25" customHeight="1">
      <c r="B71" s="238" t="s">
        <v>351</v>
      </c>
      <c r="C71" s="238"/>
      <c r="D71" s="238"/>
      <c r="E71" s="238"/>
      <c r="F71" s="238"/>
      <c r="G71" s="238"/>
      <c r="H71" s="238"/>
    </row>
    <row r="72" spans="2:8" ht="13.5" customHeight="1">
      <c r="B72" s="147"/>
      <c r="C72" s="147"/>
      <c r="D72" s="147"/>
      <c r="E72" s="147"/>
      <c r="F72" s="147"/>
      <c r="G72" s="147"/>
      <c r="H72" s="147"/>
    </row>
    <row r="73" spans="3:6" ht="51">
      <c r="C73" s="138" t="str">
        <f>"Nebraska's Energy Sources - 2007 - "&amp;TEXT(C25,"0,000")&amp;" GWh"</f>
        <v>Nebraska's Energy Sources - 2007 - 36,394 GWh</v>
      </c>
      <c r="D73" s="138" t="str">
        <f>"Nebraska's Energy Sources - 2018 (10%) - "&amp;TEXT(D25,"0,000")&amp;" GWh"</f>
        <v>Nebraska's Energy Sources - 2018 (10%) - 49,085 GWh</v>
      </c>
      <c r="E73" s="138" t="str">
        <f>"Nebraska's Energy Sources - 2018 (20%) - "&amp;TEXT(E25,"0,000")&amp;" GWh"</f>
        <v>Nebraska's Energy Sources - 2018 (20%) - 53,570 GWh</v>
      </c>
      <c r="F73" s="138" t="str">
        <f>"Nebraska's Energy Sources - 2018 (40%) - "&amp;TEXT(F25,"0,000")&amp;" GWh"</f>
        <v>Nebraska's Energy Sources - 2018 (40%) - 58,308 GWh</v>
      </c>
    </row>
    <row r="74" spans="3:6" ht="51">
      <c r="C74" s="138" t="str">
        <f>"Nebraska's Generation Use - 2007 - "&amp;TEXT(C25,"0,000")&amp;" GWh"</f>
        <v>Nebraska's Generation Use - 2007 - 36,394 GWh</v>
      </c>
      <c r="D74" s="138" t="str">
        <f>"Nebraska's Generation Use - 2018 (10%) - "&amp;TEXT(D25,"0,000")&amp;" GWh"</f>
        <v>Nebraska's Generation Use - 2018 (10%) - 49,085 GWh</v>
      </c>
      <c r="E74" s="138" t="str">
        <f>"Nebraska's Generation Use - 2018 (20%) - "&amp;TEXT(E25,"0,000")&amp;" GWh"</f>
        <v>Nebraska's Generation Use - 2018 (20%) - 53,570 GWh</v>
      </c>
      <c r="F74" s="138" t="str">
        <f>"Nebraska's Generation Use - 2018 (40%) - "&amp;TEXT(F25,"0,000")&amp;" GWh"</f>
        <v>Nebraska's Generation Use - 2018 (40%) - 58,308 GWh</v>
      </c>
    </row>
  </sheetData>
  <sheetProtection/>
  <mergeCells count="13">
    <mergeCell ref="G6:H6"/>
    <mergeCell ref="G9:H9"/>
    <mergeCell ref="G10:H10"/>
    <mergeCell ref="B69:H69"/>
    <mergeCell ref="B70:H70"/>
    <mergeCell ref="B71:H71"/>
    <mergeCell ref="G39:H39"/>
    <mergeCell ref="B1:H1"/>
    <mergeCell ref="G24:H24"/>
    <mergeCell ref="G23:H23"/>
    <mergeCell ref="G5:H5"/>
    <mergeCell ref="G8:H8"/>
    <mergeCell ref="G7:H7"/>
  </mergeCells>
  <printOptions gridLines="1"/>
  <pageMargins left="0.7" right="0.7" top="0.75" bottom="0.75" header="0.3" footer="0.3"/>
  <pageSetup fitToHeight="3" horizontalDpi="600" verticalDpi="600" orientation="landscape" scale="91" r:id="rId1"/>
  <headerFooter>
    <oddFooter>&amp;CPage &amp;P of &amp;N</oddFooter>
  </headerFooter>
  <rowBreaks count="2" manualBreakCount="2">
    <brk id="19" min="1" max="7" man="1"/>
    <brk id="42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.8515625" style="0" customWidth="1"/>
    <col min="2" max="2" width="12.8515625" style="0" customWidth="1"/>
    <col min="3" max="3" width="11.28125" style="0" customWidth="1"/>
    <col min="4" max="4" width="9.57421875" style="0" bestFit="1" customWidth="1"/>
    <col min="5" max="5" width="8.421875" style="0" customWidth="1"/>
    <col min="6" max="6" width="11.421875" style="0" customWidth="1"/>
    <col min="7" max="7" width="10.28125" style="0" customWidth="1"/>
    <col min="8" max="8" width="9.57421875" style="0" bestFit="1" customWidth="1"/>
    <col min="9" max="9" width="11.421875" style="0" customWidth="1"/>
    <col min="10" max="10" width="11.57421875" style="0" customWidth="1"/>
    <col min="11" max="11" width="9.57421875" style="0" bestFit="1" customWidth="1"/>
  </cols>
  <sheetData>
    <row r="1" ht="20.25">
      <c r="B1" s="217" t="s">
        <v>309</v>
      </c>
    </row>
    <row r="2" ht="12.75">
      <c r="A2" s="218" t="s">
        <v>310</v>
      </c>
    </row>
    <row r="3" ht="12.75">
      <c r="B3" t="s">
        <v>311</v>
      </c>
    </row>
    <row r="4" spans="2:3" ht="12.75">
      <c r="B4" s="219">
        <v>0.21217542169753648</v>
      </c>
      <c r="C4" t="s">
        <v>312</v>
      </c>
    </row>
    <row r="5" ht="12.75">
      <c r="B5" t="s">
        <v>313</v>
      </c>
    </row>
    <row r="6" spans="2:3" ht="12.75">
      <c r="B6" s="195">
        <v>66012413</v>
      </c>
      <c r="C6" t="s">
        <v>314</v>
      </c>
    </row>
    <row r="7" spans="2:3" ht="12.75">
      <c r="B7" s="220">
        <v>148379742.4</v>
      </c>
      <c r="C7" t="s">
        <v>315</v>
      </c>
    </row>
    <row r="8" spans="2:3" ht="12.75">
      <c r="B8" s="221">
        <f>SUM(B6:B7)</f>
        <v>214392155.4</v>
      </c>
      <c r="C8" t="s">
        <v>316</v>
      </c>
    </row>
    <row r="9" spans="2:8" ht="12.75">
      <c r="B9" s="222">
        <f>B8*H9</f>
        <v>16079411.655</v>
      </c>
      <c r="C9" t="s">
        <v>317</v>
      </c>
      <c r="H9" s="223">
        <v>0.075</v>
      </c>
    </row>
    <row r="10" spans="2:3" ht="12.75">
      <c r="B10" s="221">
        <f>B8-B9</f>
        <v>198312743.745</v>
      </c>
      <c r="C10" t="s">
        <v>318</v>
      </c>
    </row>
    <row r="11" spans="2:11" ht="12.75">
      <c r="B11" s="222">
        <f>B10*K11</f>
        <v>6490952.819154855</v>
      </c>
      <c r="C11" t="s">
        <v>319</v>
      </c>
      <c r="K11" s="224">
        <f>'BaseRevReq&amp;CO2cap'!K15-1</f>
        <v>0.032730891099470805</v>
      </c>
    </row>
    <row r="12" spans="2:3" ht="12.75">
      <c r="B12" s="221">
        <f>SUM(B10:B11)</f>
        <v>204803696.56415486</v>
      </c>
      <c r="C12" t="s">
        <v>320</v>
      </c>
    </row>
    <row r="13" spans="2:3" ht="12.75">
      <c r="B13" s="225">
        <f>'BaseRevReq&amp;CO2cap'!C6</f>
        <v>28248400</v>
      </c>
      <c r="C13" t="s">
        <v>321</v>
      </c>
    </row>
    <row r="14" spans="2:3" ht="12.75">
      <c r="B14" s="221">
        <f>SUM(B12:B13)</f>
        <v>233052096.56415486</v>
      </c>
      <c r="C14" t="s">
        <v>322</v>
      </c>
    </row>
    <row r="15" spans="2:3" ht="12.75">
      <c r="B15" s="226">
        <f>B4*B14</f>
        <v>49447926.86599455</v>
      </c>
      <c r="C15" t="s">
        <v>323</v>
      </c>
    </row>
    <row r="17" ht="12.75">
      <c r="A17" s="218" t="s">
        <v>324</v>
      </c>
    </row>
    <row r="18" spans="1:2" ht="12.75">
      <c r="A18" s="214"/>
      <c r="B18" t="s">
        <v>313</v>
      </c>
    </row>
    <row r="19" spans="3:11" ht="12.75">
      <c r="C19" s="227"/>
      <c r="D19" s="228" t="s">
        <v>325</v>
      </c>
      <c r="E19" s="229"/>
      <c r="F19" s="227"/>
      <c r="G19" s="228" t="s">
        <v>326</v>
      </c>
      <c r="H19" s="229"/>
      <c r="I19" s="227"/>
      <c r="J19" s="228" t="s">
        <v>327</v>
      </c>
      <c r="K19" s="229"/>
    </row>
    <row r="20" spans="3:11" ht="12.75">
      <c r="C20" s="230" t="s">
        <v>328</v>
      </c>
      <c r="D20" s="231" t="s">
        <v>137</v>
      </c>
      <c r="E20" s="232" t="s">
        <v>329</v>
      </c>
      <c r="F20" s="230" t="s">
        <v>328</v>
      </c>
      <c r="G20" s="231" t="s">
        <v>137</v>
      </c>
      <c r="H20" s="232" t="s">
        <v>329</v>
      </c>
      <c r="I20" s="230" t="s">
        <v>328</v>
      </c>
      <c r="J20" s="231" t="s">
        <v>137</v>
      </c>
      <c r="K20" s="232" t="s">
        <v>329</v>
      </c>
    </row>
    <row r="21" spans="2:11" ht="12.75">
      <c r="B21" t="s">
        <v>330</v>
      </c>
      <c r="C21" s="223">
        <v>0.66162</v>
      </c>
      <c r="D21" s="223">
        <v>0.025535</v>
      </c>
      <c r="E21" s="223">
        <v>0.000992</v>
      </c>
      <c r="F21" s="223">
        <v>0.782583</v>
      </c>
      <c r="G21" s="223">
        <v>0.059435</v>
      </c>
      <c r="H21" s="223">
        <v>0.015962</v>
      </c>
      <c r="I21" s="223">
        <v>0.55673</v>
      </c>
      <c r="J21" s="223">
        <v>0.374117</v>
      </c>
      <c r="K21" s="223">
        <v>0.003611</v>
      </c>
    </row>
    <row r="22" spans="2:11" ht="12.75">
      <c r="B22" t="s">
        <v>331</v>
      </c>
      <c r="C22" s="233">
        <f>C21*$B13</f>
        <v>18689706.408</v>
      </c>
      <c r="D22" s="233">
        <f>D21*$B13</f>
        <v>721322.894</v>
      </c>
      <c r="E22" s="233">
        <f>E21*$B13</f>
        <v>28022.412800000002</v>
      </c>
      <c r="F22" s="233">
        <f>F21*$B6*(1-$H9)</f>
        <v>47785677.78757058</v>
      </c>
      <c r="G22" s="233">
        <f>G21*$B6*(1-$H9)</f>
        <v>3629189.184155875</v>
      </c>
      <c r="H22" s="233">
        <f>H21*$B6*(1-$H9)</f>
        <v>974663.37608305</v>
      </c>
      <c r="I22" s="233">
        <f>I21*$B7*(1-$H9)</f>
        <v>76411894.9373756</v>
      </c>
      <c r="J22" s="233">
        <f>J21*$B7*(1-$H9)</f>
        <v>51348030.280901246</v>
      </c>
      <c r="K22" s="233">
        <f>K21*$B7*(1-$H9)</f>
        <v>495614.3060709201</v>
      </c>
    </row>
    <row r="23" spans="2:11" ht="12.75">
      <c r="B23" t="s">
        <v>332</v>
      </c>
      <c r="C23" s="234">
        <v>0.34139047941024225</v>
      </c>
      <c r="D23" s="234">
        <v>0.1459810544716961</v>
      </c>
      <c r="E23" s="234">
        <v>0.27505593637928427</v>
      </c>
      <c r="F23" s="234">
        <v>0.34139047941024225</v>
      </c>
      <c r="G23" s="234">
        <v>0.1459810544716961</v>
      </c>
      <c r="H23" s="234">
        <v>0.27505593637928427</v>
      </c>
      <c r="I23" s="234">
        <v>0.34139047941024225</v>
      </c>
      <c r="J23" s="234">
        <v>0.1459810544716961</v>
      </c>
      <c r="K23" s="234">
        <v>0.27505593637928427</v>
      </c>
    </row>
    <row r="24" ht="12.75">
      <c r="C24" t="s">
        <v>333</v>
      </c>
    </row>
    <row r="25" spans="2:11" ht="12.75">
      <c r="B25" s="226">
        <f>SUM(C25:K25)</f>
        <v>57323405.00652793</v>
      </c>
      <c r="C25" s="221">
        <f>C22*C23</f>
        <v>6380487.8306637965</v>
      </c>
      <c r="D25" s="221">
        <f aca="true" t="shared" si="0" ref="D25:K25">D22*D23</f>
        <v>105299.47668069547</v>
      </c>
      <c r="E25" s="221">
        <f t="shared" si="0"/>
        <v>7707.730992310841</v>
      </c>
      <c r="F25" s="221">
        <f t="shared" si="0"/>
        <v>16313575.448842086</v>
      </c>
      <c r="G25" s="221">
        <f t="shared" si="0"/>
        <v>529792.863980349</v>
      </c>
      <c r="H25" s="221">
        <f t="shared" si="0"/>
        <v>268086.94756311784</v>
      </c>
      <c r="I25" s="221">
        <f t="shared" si="0"/>
        <v>26086293.445315722</v>
      </c>
      <c r="J25" s="221">
        <f t="shared" si="0"/>
        <v>7495839.605450545</v>
      </c>
      <c r="K25" s="221">
        <f t="shared" si="0"/>
        <v>136321.65703930613</v>
      </c>
    </row>
    <row r="27" spans="2:8" ht="12.75">
      <c r="B27" s="226">
        <f>SUM(B15,B25)</f>
        <v>106771331.87252247</v>
      </c>
      <c r="C27" s="169" t="s">
        <v>334</v>
      </c>
      <c r="D27" s="169"/>
      <c r="E27" s="169"/>
      <c r="F27" s="169"/>
      <c r="G27" s="169"/>
      <c r="H27" s="169"/>
    </row>
    <row r="28" ht="13.5" thickBot="1"/>
    <row r="29" spans="2:11" ht="13.5" thickBot="1">
      <c r="B29" s="235">
        <f>1.102311*B27</f>
        <v>117695213.60773212</v>
      </c>
      <c r="C29" s="236" t="s">
        <v>335</v>
      </c>
      <c r="D29" s="162"/>
      <c r="E29" s="162"/>
      <c r="F29" s="162"/>
      <c r="G29" s="162"/>
      <c r="H29" s="162"/>
      <c r="I29" s="162"/>
      <c r="J29" s="162"/>
      <c r="K29" s="16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3"/>
  <sheetViews>
    <sheetView zoomScalePageLayoutView="0" workbookViewId="0" topLeftCell="A55">
      <selection activeCell="C62" sqref="C62"/>
    </sheetView>
  </sheetViews>
  <sheetFormatPr defaultColWidth="9.140625" defaultRowHeight="12.75"/>
  <cols>
    <col min="1" max="1" width="2.28125" style="0" customWidth="1"/>
  </cols>
  <sheetData>
    <row r="3" spans="5:6" ht="12.75">
      <c r="E3" t="s">
        <v>206</v>
      </c>
      <c r="F3" t="s">
        <v>207</v>
      </c>
    </row>
    <row r="11" ht="12.75">
      <c r="C11" s="146"/>
    </row>
    <row r="33" ht="12.75" customHeight="1">
      <c r="B33" s="48" t="s">
        <v>222</v>
      </c>
    </row>
    <row r="34" ht="12.75" customHeight="1"/>
  </sheetData>
  <sheetProtection/>
  <printOptions/>
  <pageMargins left="0.7" right="0.7" top="0.75" bottom="0.75" header="0.3" footer="0.3"/>
  <pageSetup fitToHeight="1" fitToWidth="1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3"/>
  <sheetViews>
    <sheetView zoomScalePageLayoutView="0" workbookViewId="0" topLeftCell="A54">
      <selection activeCell="C62" sqref="C62"/>
    </sheetView>
  </sheetViews>
  <sheetFormatPr defaultColWidth="9.140625" defaultRowHeight="12.75"/>
  <cols>
    <col min="1" max="1" width="2.28125" style="0" customWidth="1"/>
  </cols>
  <sheetData>
    <row r="3" spans="5:6" ht="12.75">
      <c r="E3" t="s">
        <v>206</v>
      </c>
      <c r="F3" t="s">
        <v>207</v>
      </c>
    </row>
    <row r="11" ht="12.75">
      <c r="C11" s="146"/>
    </row>
    <row r="33" ht="12.75" customHeight="1">
      <c r="B33" s="48" t="s">
        <v>222</v>
      </c>
    </row>
    <row r="34" ht="12.75" customHeight="1"/>
  </sheetData>
  <sheetProtection/>
  <printOptions/>
  <pageMargins left="0.7" right="0.7" top="0.75" bottom="0.75" header="0.3" footer="0.3"/>
  <pageSetup fitToHeight="1" fitToWidth="1"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0"/>
  <sheetViews>
    <sheetView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2.421875" style="0" customWidth="1"/>
    <col min="2" max="2" width="29.421875" style="0" customWidth="1"/>
    <col min="3" max="3" width="14.8515625" style="1" customWidth="1"/>
    <col min="4" max="4" width="16.8515625" style="1" customWidth="1"/>
    <col min="5" max="5" width="17.8515625" style="1" customWidth="1"/>
    <col min="6" max="6" width="18.00390625" style="1" customWidth="1"/>
    <col min="7" max="7" width="9.140625" style="0" customWidth="1"/>
    <col min="8" max="8" width="28.57421875" style="0" customWidth="1"/>
  </cols>
  <sheetData>
    <row r="3" spans="3:7" ht="12.75">
      <c r="C3" s="1" t="s">
        <v>1</v>
      </c>
      <c r="D3" s="1" t="s">
        <v>0</v>
      </c>
      <c r="E3" s="1" t="s">
        <v>206</v>
      </c>
      <c r="F3" s="1" t="s">
        <v>207</v>
      </c>
      <c r="G3" s="4" t="s">
        <v>34</v>
      </c>
    </row>
    <row r="4" spans="3:6" ht="12.75">
      <c r="C4" s="1" t="s">
        <v>5</v>
      </c>
      <c r="D4" s="1" t="s">
        <v>18</v>
      </c>
      <c r="E4" s="1" t="s">
        <v>19</v>
      </c>
      <c r="F4" s="1" t="s">
        <v>20</v>
      </c>
    </row>
    <row r="7" spans="2:8" ht="12.75">
      <c r="B7" s="7" t="s">
        <v>6</v>
      </c>
      <c r="C7" s="8"/>
      <c r="D7" s="9">
        <v>1249</v>
      </c>
      <c r="E7" s="9">
        <v>2488</v>
      </c>
      <c r="F7" s="9">
        <v>4727</v>
      </c>
      <c r="G7" s="242" t="s">
        <v>13</v>
      </c>
      <c r="H7" s="238"/>
    </row>
    <row r="8" spans="2:8" ht="14.25" customHeight="1">
      <c r="B8" s="7" t="s">
        <v>8</v>
      </c>
      <c r="C8" s="8"/>
      <c r="D8" s="9">
        <v>250</v>
      </c>
      <c r="E8" s="9">
        <v>311</v>
      </c>
      <c r="F8" s="9">
        <v>430</v>
      </c>
      <c r="G8" s="243" t="s">
        <v>13</v>
      </c>
      <c r="H8" s="238"/>
    </row>
    <row r="9" spans="2:8" ht="25.5">
      <c r="B9" s="7" t="s">
        <v>9</v>
      </c>
      <c r="C9" s="8"/>
      <c r="D9" s="8" t="s">
        <v>27</v>
      </c>
      <c r="E9" s="8" t="s">
        <v>27</v>
      </c>
      <c r="F9" s="8" t="s">
        <v>27</v>
      </c>
      <c r="G9" s="242"/>
      <c r="H9" s="238"/>
    </row>
    <row r="10" spans="2:8" ht="25.5">
      <c r="B10" s="7" t="s">
        <v>10</v>
      </c>
      <c r="C10" s="8"/>
      <c r="D10" s="11" t="s">
        <v>27</v>
      </c>
      <c r="E10" s="11" t="s">
        <v>27</v>
      </c>
      <c r="F10" s="11" t="s">
        <v>27</v>
      </c>
      <c r="G10" s="242"/>
      <c r="H10" s="238"/>
    </row>
    <row r="11" spans="2:8" ht="15.75" customHeight="1">
      <c r="B11" s="7" t="s">
        <v>17</v>
      </c>
      <c r="C11" s="8"/>
      <c r="D11" s="12">
        <f>D12/D7/8.76</f>
        <v>0.3953848009914781</v>
      </c>
      <c r="E11" s="12">
        <f>E12/E7/8.76</f>
        <v>0.3889904417918337</v>
      </c>
      <c r="F11" s="12">
        <f>F12/F7/8.76</f>
        <v>0.39404934057049135</v>
      </c>
      <c r="G11" s="242" t="s">
        <v>29</v>
      </c>
      <c r="H11" s="238"/>
    </row>
    <row r="12" spans="2:8" ht="12.75">
      <c r="B12" s="7" t="s">
        <v>7</v>
      </c>
      <c r="C12" s="8"/>
      <c r="D12" s="9">
        <v>4326</v>
      </c>
      <c r="E12" s="9">
        <v>8478</v>
      </c>
      <c r="F12" s="9">
        <v>16317</v>
      </c>
      <c r="G12" s="242" t="s">
        <v>16</v>
      </c>
      <c r="H12" s="238"/>
    </row>
    <row r="13" spans="2:8" ht="27.75" customHeight="1">
      <c r="B13" s="7" t="str">
        <f>"Number of Wind Turbines (at "&amp;TEXT(G13,"0.0")&amp;" MW each)"</f>
        <v>Number of Wind Turbines (at 3.0 MW each)</v>
      </c>
      <c r="C13" s="8"/>
      <c r="D13" s="9">
        <f>ROUNDUP(D7/$G13,0)</f>
        <v>417</v>
      </c>
      <c r="E13" s="9">
        <f>ROUNDUP(E7/$G13,0)</f>
        <v>830</v>
      </c>
      <c r="F13" s="9">
        <f>ROUNDUP(F7/$G13,0)</f>
        <v>1576</v>
      </c>
      <c r="G13" s="14">
        <f>Composite!G11</f>
        <v>3</v>
      </c>
      <c r="H13" s="48" t="s">
        <v>32</v>
      </c>
    </row>
    <row r="14" spans="2:8" ht="39" customHeight="1">
      <c r="B14" s="7" t="str">
        <f>"Land Use Under Lease in Acres (at "&amp;TEXT($G14,"0")&amp;" acres per MW each)"</f>
        <v>Land Use Under Lease in Acres (at 100 acres per MW each)</v>
      </c>
      <c r="C14" s="8"/>
      <c r="D14" s="9">
        <f>D7*$G14</f>
        <v>124900</v>
      </c>
      <c r="E14" s="9">
        <f>E7*$G14</f>
        <v>248800</v>
      </c>
      <c r="F14" s="9">
        <f>F7*$G14</f>
        <v>472700</v>
      </c>
      <c r="G14" s="14">
        <f>Composite!G12</f>
        <v>100</v>
      </c>
      <c r="H14" s="7" t="s">
        <v>31</v>
      </c>
    </row>
    <row r="15" spans="2:8" ht="39.75" customHeight="1">
      <c r="B15" s="7" t="str">
        <f>"Land Use Disturbed in Acres (at "&amp;TEXT($G15,"0.00")&amp;" acres per MW)"</f>
        <v>Land Use Disturbed in Acres (at 5.33 acres per MW)</v>
      </c>
      <c r="C15" s="8"/>
      <c r="D15" s="9">
        <f>D7*$G15</f>
        <v>6657.17</v>
      </c>
      <c r="E15" s="9">
        <f>E7*$G15</f>
        <v>13261.04</v>
      </c>
      <c r="F15" s="9">
        <f>F7*$G15</f>
        <v>25194.91</v>
      </c>
      <c r="G15" s="14">
        <f>Composite!G13</f>
        <v>5.33</v>
      </c>
      <c r="H15" s="7" t="s">
        <v>30</v>
      </c>
    </row>
    <row r="16" spans="2:8" ht="38.25" customHeight="1">
      <c r="B16" s="7" t="str">
        <f>"Annual Purchase Cost of Wind Generation in Millions of 2009$ (at "&amp;TEXT(G16:G16,"$0")&amp;"/MWh)"</f>
        <v>Annual Purchase Cost of Wind Generation in Millions of 2009$ (at $50/MWh)</v>
      </c>
      <c r="C16" s="8"/>
      <c r="D16" s="15">
        <f>D12*$G16/1000</f>
        <v>216.3</v>
      </c>
      <c r="E16" s="15">
        <f>E12*$G16/1000</f>
        <v>423.9</v>
      </c>
      <c r="F16" s="15">
        <f>F12*$G16/1000</f>
        <v>815.85</v>
      </c>
      <c r="G16" s="17">
        <f>Composite!G14</f>
        <v>50</v>
      </c>
      <c r="H16" s="7" t="s">
        <v>33</v>
      </c>
    </row>
    <row r="17" spans="2:8" ht="38.25">
      <c r="B17" s="18" t="s">
        <v>109</v>
      </c>
      <c r="D17" s="46">
        <f>D7*$G17/1000</f>
        <v>2622.9</v>
      </c>
      <c r="E17" s="46">
        <f>E7*$G17/1000</f>
        <v>5224.8</v>
      </c>
      <c r="F17" s="46">
        <f>F7*$G17/1000</f>
        <v>9926.7</v>
      </c>
      <c r="G17">
        <v>2100</v>
      </c>
      <c r="H17" s="47" t="s">
        <v>108</v>
      </c>
    </row>
    <row r="18" spans="2:8" ht="12.75">
      <c r="B18" s="5" t="s">
        <v>105</v>
      </c>
      <c r="D18" s="46">
        <f>Overlay!F30</f>
        <v>178.63055555555556</v>
      </c>
      <c r="E18" s="46">
        <f>Overlay!G30</f>
        <v>1051.5166666666667</v>
      </c>
      <c r="F18" s="46">
        <f>Overlay!H30</f>
        <v>1299.4953703703704</v>
      </c>
      <c r="H18" s="47"/>
    </row>
    <row r="19" spans="2:6" ht="25.5">
      <c r="B19" s="18" t="s">
        <v>106</v>
      </c>
      <c r="D19" s="15">
        <f>Overlay!F31</f>
        <v>15.403172000000001</v>
      </c>
      <c r="E19" s="15">
        <f>Overlay!G31</f>
        <v>174.4717424</v>
      </c>
      <c r="F19" s="15">
        <f>Overlay!H31</f>
        <v>194.76090906666667</v>
      </c>
    </row>
    <row r="20" spans="2:6" ht="25.5">
      <c r="B20" s="18" t="s">
        <v>107</v>
      </c>
      <c r="D20" s="15">
        <f>Overlay!F32</f>
        <v>192.53965</v>
      </c>
      <c r="E20" s="15">
        <f>Overlay!G32</f>
        <v>2180.8967800000005</v>
      </c>
      <c r="F20" s="15">
        <f>Overlay!H32</f>
        <v>2434.511363333334</v>
      </c>
    </row>
    <row r="21" spans="2:7" ht="12.75" customHeight="1">
      <c r="B21" s="18" t="s">
        <v>203</v>
      </c>
      <c r="C21" s="131">
        <f>28248/(1-7.4%)</f>
        <v>30505.399568034558</v>
      </c>
      <c r="D21" s="131">
        <v>39405</v>
      </c>
      <c r="E21" s="131">
        <v>39405</v>
      </c>
      <c r="F21" s="131">
        <v>39405</v>
      </c>
      <c r="G21" t="s">
        <v>205</v>
      </c>
    </row>
    <row r="22" spans="2:11" ht="12.75">
      <c r="B22" s="18" t="s">
        <v>114</v>
      </c>
      <c r="C22" s="131">
        <f>SUM(C23:C27)</f>
        <v>36393.58508754208</v>
      </c>
      <c r="D22" s="131">
        <f>SUM(D23:D27)</f>
        <v>48860</v>
      </c>
      <c r="E22" s="131">
        <f>SUM(E23:E27)</f>
        <v>53149.99999999999</v>
      </c>
      <c r="F22" s="131">
        <f>SUM(F23:F27)</f>
        <v>57749.99999999999</v>
      </c>
      <c r="I22">
        <v>48860</v>
      </c>
      <c r="J22">
        <v>53150</v>
      </c>
      <c r="K22">
        <v>57750</v>
      </c>
    </row>
    <row r="23" spans="2:8" ht="12.75">
      <c r="B23" s="18" t="s">
        <v>112</v>
      </c>
      <c r="C23" s="132">
        <f>Energy07!H49</f>
        <v>21646.108</v>
      </c>
      <c r="D23" s="135">
        <f>I22-SUM(D24:D27)</f>
        <v>29352.25</v>
      </c>
      <c r="E23" s="135">
        <f>J22-SUM(E24:E27)</f>
        <v>29731.85</v>
      </c>
      <c r="F23" s="135">
        <f>K22-SUM(F24:F27)</f>
        <v>27462.75</v>
      </c>
      <c r="G23" t="s">
        <v>210</v>
      </c>
      <c r="H23" s="134" t="s">
        <v>211</v>
      </c>
    </row>
    <row r="24" spans="2:8" ht="12.75">
      <c r="B24" s="18" t="s">
        <v>113</v>
      </c>
      <c r="C24" s="132">
        <f>Energy07!H50</f>
        <v>11041.532</v>
      </c>
      <c r="D24" s="135">
        <f>AVERAGE('2005'!D24,'2006'!D24)</f>
        <v>9683.150000000001</v>
      </c>
      <c r="E24" s="135">
        <f>AVERAGE('2005'!E24,'2006'!E24)</f>
        <v>9683.55</v>
      </c>
      <c r="F24" s="135">
        <f>AVERAGE('2005'!F24,'2006'!F24)</f>
        <v>9682.45</v>
      </c>
      <c r="G24" t="s">
        <v>210</v>
      </c>
      <c r="H24" s="134" t="s">
        <v>211</v>
      </c>
    </row>
    <row r="25" spans="2:8" ht="12.75">
      <c r="B25" s="18" t="s">
        <v>200</v>
      </c>
      <c r="C25" s="132">
        <f>Energy07!H51</f>
        <v>1145.787</v>
      </c>
      <c r="D25" s="135">
        <f>'2005'!D25</f>
        <v>3271.9999999999995</v>
      </c>
      <c r="E25" s="135">
        <f>'2005'!E25</f>
        <v>3042</v>
      </c>
      <c r="F25" s="135">
        <f>'2005'!F25</f>
        <v>2122.2000000000003</v>
      </c>
      <c r="G25" t="s">
        <v>210</v>
      </c>
      <c r="H25" s="134" t="s">
        <v>211</v>
      </c>
    </row>
    <row r="26" spans="2:8" ht="12.75">
      <c r="B26" s="18" t="s">
        <v>201</v>
      </c>
      <c r="C26" s="132">
        <f>Energy07!H52</f>
        <v>2372.7145818876816</v>
      </c>
      <c r="D26" s="135">
        <f>AVERAGE('2005'!D26,'2006'!D26)</f>
        <v>2252.6000000000004</v>
      </c>
      <c r="E26" s="135">
        <f>AVERAGE('2005'!E26,'2006'!E26)</f>
        <v>2252.6000000000004</v>
      </c>
      <c r="F26" s="135">
        <f>AVERAGE('2005'!F26,'2006'!F26)</f>
        <v>2252.6000000000004</v>
      </c>
      <c r="G26" t="s">
        <v>210</v>
      </c>
      <c r="H26" s="134" t="s">
        <v>211</v>
      </c>
    </row>
    <row r="27" spans="2:8" ht="12.75">
      <c r="B27" s="18" t="s">
        <v>202</v>
      </c>
      <c r="C27" s="132">
        <f>Energy07!H53</f>
        <v>187.44350565440615</v>
      </c>
      <c r="D27" s="135">
        <v>4300</v>
      </c>
      <c r="E27" s="135">
        <v>8440</v>
      </c>
      <c r="F27" s="135">
        <v>16230</v>
      </c>
      <c r="G27" t="s">
        <v>210</v>
      </c>
      <c r="H27" s="134" t="s">
        <v>211</v>
      </c>
    </row>
    <row r="28" spans="2:6" ht="12.75">
      <c r="B28" s="18" t="s">
        <v>204</v>
      </c>
      <c r="C28" s="133">
        <f>C22-C21</f>
        <v>5888.185519507522</v>
      </c>
      <c r="D28" s="133">
        <f>D22-D21</f>
        <v>9455</v>
      </c>
      <c r="E28" s="133">
        <f>E22-E21</f>
        <v>13744.999999999993</v>
      </c>
      <c r="F28" s="131">
        <f>F22-F21</f>
        <v>18344.999999999993</v>
      </c>
    </row>
    <row r="29" spans="2:6" ht="25.5">
      <c r="B29" s="6" t="s">
        <v>220</v>
      </c>
      <c r="D29" s="1">
        <v>32.59</v>
      </c>
      <c r="E29" s="1">
        <v>32.89</v>
      </c>
      <c r="F29" s="1">
        <v>30.12</v>
      </c>
    </row>
    <row r="30" spans="2:8" ht="38.25">
      <c r="B30" s="10" t="s">
        <v>222</v>
      </c>
      <c r="D30" s="141">
        <f>$G30-D29</f>
        <v>-0.29000000000000625</v>
      </c>
      <c r="E30" s="141">
        <f>$G30-E29</f>
        <v>-0.5900000000000034</v>
      </c>
      <c r="F30" s="141">
        <f>$G30-F29</f>
        <v>2.179999999999996</v>
      </c>
      <c r="G30" s="140">
        <f>Composite!G34</f>
        <v>32.3</v>
      </c>
      <c r="H30" s="140" t="str">
        <f>Composite!H34</f>
        <v>Reference Emissions for Existing Wind</v>
      </c>
    </row>
  </sheetData>
  <sheetProtection/>
  <mergeCells count="6">
    <mergeCell ref="G7:H7"/>
    <mergeCell ref="G10:H10"/>
    <mergeCell ref="G9:H9"/>
    <mergeCell ref="G8:H8"/>
    <mergeCell ref="G11:H11"/>
    <mergeCell ref="G12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0"/>
  <sheetViews>
    <sheetView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2.421875" style="0" customWidth="1"/>
    <col min="2" max="2" width="29.421875" style="0" customWidth="1"/>
    <col min="3" max="3" width="14.8515625" style="1" customWidth="1"/>
    <col min="4" max="4" width="16.8515625" style="1" customWidth="1"/>
    <col min="5" max="5" width="17.8515625" style="1" customWidth="1"/>
    <col min="6" max="6" width="18.00390625" style="1" customWidth="1"/>
    <col min="7" max="7" width="9.140625" style="0" customWidth="1"/>
    <col min="8" max="8" width="28.57421875" style="0" customWidth="1"/>
  </cols>
  <sheetData>
    <row r="3" spans="3:7" ht="12.75">
      <c r="C3" s="1" t="s">
        <v>1</v>
      </c>
      <c r="D3" s="1" t="s">
        <v>0</v>
      </c>
      <c r="E3" s="1" t="s">
        <v>206</v>
      </c>
      <c r="F3" s="1" t="s">
        <v>207</v>
      </c>
      <c r="G3" s="4" t="s">
        <v>34</v>
      </c>
    </row>
    <row r="4" spans="3:6" ht="12.75">
      <c r="C4" s="1" t="s">
        <v>5</v>
      </c>
      <c r="D4" s="1" t="s">
        <v>21</v>
      </c>
      <c r="E4" s="1" t="s">
        <v>22</v>
      </c>
      <c r="F4" s="1" t="s">
        <v>23</v>
      </c>
    </row>
    <row r="7" spans="2:8" ht="12.75">
      <c r="B7" s="7" t="s">
        <v>6</v>
      </c>
      <c r="C7" s="8"/>
      <c r="D7" s="9">
        <v>1249</v>
      </c>
      <c r="E7" s="9">
        <v>2488</v>
      </c>
      <c r="F7" s="9">
        <v>4727</v>
      </c>
      <c r="G7" s="242" t="s">
        <v>13</v>
      </c>
      <c r="H7" s="238"/>
    </row>
    <row r="8" spans="2:8" ht="14.25" customHeight="1">
      <c r="B8" s="7" t="s">
        <v>8</v>
      </c>
      <c r="C8" s="8"/>
      <c r="D8" s="9">
        <v>250</v>
      </c>
      <c r="E8" s="9">
        <v>311</v>
      </c>
      <c r="F8" s="9">
        <v>430</v>
      </c>
      <c r="G8" s="243" t="s">
        <v>13</v>
      </c>
      <c r="H8" s="238"/>
    </row>
    <row r="9" spans="2:8" ht="25.5">
      <c r="B9" s="7" t="s">
        <v>9</v>
      </c>
      <c r="C9" s="8"/>
      <c r="D9" s="8" t="s">
        <v>27</v>
      </c>
      <c r="E9" s="8" t="s">
        <v>27</v>
      </c>
      <c r="F9" s="8" t="s">
        <v>27</v>
      </c>
      <c r="G9" s="242"/>
      <c r="H9" s="238"/>
    </row>
    <row r="10" spans="2:8" ht="25.5">
      <c r="B10" s="7" t="s">
        <v>10</v>
      </c>
      <c r="C10" s="8"/>
      <c r="D10" s="11" t="s">
        <v>27</v>
      </c>
      <c r="E10" s="11" t="s">
        <v>27</v>
      </c>
      <c r="F10" s="11" t="s">
        <v>27</v>
      </c>
      <c r="G10" s="242"/>
      <c r="H10" s="238"/>
    </row>
    <row r="11" spans="2:8" ht="15.75" customHeight="1">
      <c r="B11" s="7" t="s">
        <v>17</v>
      </c>
      <c r="C11" s="8"/>
      <c r="D11" s="12">
        <f>D12/D7/8.76</f>
        <v>0.41576640307679935</v>
      </c>
      <c r="E11" s="12">
        <f>E12/E7/8.76</f>
        <v>0.4104174925487087</v>
      </c>
      <c r="F11" s="12">
        <f>F12/F7/8.76</f>
        <v>0.41035033369944157</v>
      </c>
      <c r="G11" s="242" t="s">
        <v>29</v>
      </c>
      <c r="H11" s="238"/>
    </row>
    <row r="12" spans="2:8" ht="12.75">
      <c r="B12" s="7" t="s">
        <v>7</v>
      </c>
      <c r="C12" s="8"/>
      <c r="D12" s="9">
        <v>4549</v>
      </c>
      <c r="E12" s="9">
        <v>8945</v>
      </c>
      <c r="F12" s="9">
        <v>16992</v>
      </c>
      <c r="G12" s="242" t="s">
        <v>16</v>
      </c>
      <c r="H12" s="238"/>
    </row>
    <row r="13" spans="2:8" ht="27.75" customHeight="1">
      <c r="B13" s="7" t="str">
        <f>"Number of Wind Turbines (at "&amp;TEXT(G13,"0.0")&amp;" MW each)"</f>
        <v>Number of Wind Turbines (at 3.0 MW each)</v>
      </c>
      <c r="C13" s="8"/>
      <c r="D13" s="9">
        <f>ROUNDUP(D7/$G13,0)</f>
        <v>417</v>
      </c>
      <c r="E13" s="9">
        <f>ROUNDUP(E7/$G13,0)</f>
        <v>830</v>
      </c>
      <c r="F13" s="9">
        <f>ROUNDUP(F7/$G13,0)</f>
        <v>1576</v>
      </c>
      <c r="G13" s="14">
        <f>Composite!G11</f>
        <v>3</v>
      </c>
      <c r="H13" s="48" t="s">
        <v>32</v>
      </c>
    </row>
    <row r="14" spans="2:8" ht="39" customHeight="1">
      <c r="B14" s="7" t="str">
        <f>"Land Use Under Lease in Acres (at "&amp;TEXT($G14,"0")&amp;" acres per MW each)"</f>
        <v>Land Use Under Lease in Acres (at 100 acres per MW each)</v>
      </c>
      <c r="C14" s="8"/>
      <c r="D14" s="9">
        <f>D7*$G14</f>
        <v>124900</v>
      </c>
      <c r="E14" s="9">
        <f>E7*$G14</f>
        <v>248800</v>
      </c>
      <c r="F14" s="9">
        <f>F7*$G14</f>
        <v>472700</v>
      </c>
      <c r="G14" s="14">
        <f>Composite!G12</f>
        <v>100</v>
      </c>
      <c r="H14" s="7" t="s">
        <v>31</v>
      </c>
    </row>
    <row r="15" spans="2:8" ht="39.75" customHeight="1">
      <c r="B15" s="7" t="str">
        <f>"Land Use Disturbed in Acres (at "&amp;TEXT($G15,"0.00")&amp;" acres per MW)"</f>
        <v>Land Use Disturbed in Acres (at 5.33 acres per MW)</v>
      </c>
      <c r="C15" s="8"/>
      <c r="D15" s="9">
        <f>D7*$G15</f>
        <v>6657.17</v>
      </c>
      <c r="E15" s="9">
        <f>E7*$G15</f>
        <v>13261.04</v>
      </c>
      <c r="F15" s="9">
        <f>F7*$G15</f>
        <v>25194.91</v>
      </c>
      <c r="G15" s="14">
        <f>Composite!G13</f>
        <v>5.33</v>
      </c>
      <c r="H15" s="7" t="s">
        <v>30</v>
      </c>
    </row>
    <row r="16" spans="2:8" ht="38.25" customHeight="1">
      <c r="B16" s="7" t="str">
        <f>"Annual Purchase Cost of Wind Generation in Millions of 2009$ (at "&amp;TEXT(G16:G16,"$0")&amp;"/MWh)"</f>
        <v>Annual Purchase Cost of Wind Generation in Millions of 2009$ (at $50/MWh)</v>
      </c>
      <c r="C16" s="8"/>
      <c r="D16" s="15">
        <f>D12*$G16/1000</f>
        <v>227.45</v>
      </c>
      <c r="E16" s="15">
        <f>E12*$G16/1000</f>
        <v>447.25</v>
      </c>
      <c r="F16" s="15">
        <f>F12*$G16/1000</f>
        <v>849.6</v>
      </c>
      <c r="G16" s="17">
        <f>Composite!G14</f>
        <v>50</v>
      </c>
      <c r="H16" s="7" t="s">
        <v>33</v>
      </c>
    </row>
    <row r="17" spans="2:8" ht="38.25">
      <c r="B17" s="18" t="s">
        <v>109</v>
      </c>
      <c r="D17" s="46">
        <f>D7*$G17/1000</f>
        <v>2622.9</v>
      </c>
      <c r="E17" s="46">
        <f>E7*$G17/1000</f>
        <v>5224.8</v>
      </c>
      <c r="F17" s="46">
        <f>F7*$G17/1000</f>
        <v>9926.7</v>
      </c>
      <c r="G17">
        <v>2100</v>
      </c>
      <c r="H17" s="47" t="s">
        <v>108</v>
      </c>
    </row>
    <row r="18" spans="2:8" ht="12.75">
      <c r="B18" s="5" t="s">
        <v>105</v>
      </c>
      <c r="D18" s="46">
        <f>Overlay!F30</f>
        <v>178.63055555555556</v>
      </c>
      <c r="E18" s="46">
        <f>Overlay!G30</f>
        <v>1051.5166666666667</v>
      </c>
      <c r="F18" s="46">
        <f>Overlay!H30</f>
        <v>1299.4953703703704</v>
      </c>
      <c r="H18" s="47"/>
    </row>
    <row r="19" spans="2:6" ht="25.5">
      <c r="B19" s="18" t="s">
        <v>106</v>
      </c>
      <c r="D19" s="15">
        <f>Overlay!F31</f>
        <v>15.403172000000001</v>
      </c>
      <c r="E19" s="15">
        <f>Overlay!G31</f>
        <v>174.4717424</v>
      </c>
      <c r="F19" s="15">
        <f>Overlay!H31</f>
        <v>194.76090906666667</v>
      </c>
    </row>
    <row r="20" spans="2:6" ht="25.5">
      <c r="B20" s="18" t="s">
        <v>107</v>
      </c>
      <c r="D20" s="15">
        <f>Overlay!F32</f>
        <v>192.53965</v>
      </c>
      <c r="E20" s="15">
        <f>Overlay!G32</f>
        <v>2180.8967800000005</v>
      </c>
      <c r="F20" s="15">
        <f>Overlay!H32</f>
        <v>2434.511363333334</v>
      </c>
    </row>
    <row r="21" spans="2:7" ht="12.75" customHeight="1">
      <c r="B21" s="18" t="s">
        <v>203</v>
      </c>
      <c r="C21" s="131">
        <f>28248/(1-7.4%)</f>
        <v>30505.399568034558</v>
      </c>
      <c r="D21" s="131">
        <v>39405</v>
      </c>
      <c r="E21" s="131">
        <v>39405</v>
      </c>
      <c r="F21" s="131">
        <v>39405</v>
      </c>
      <c r="G21" t="s">
        <v>205</v>
      </c>
    </row>
    <row r="22" spans="2:6" ht="12.75">
      <c r="B22" s="18" t="s">
        <v>114</v>
      </c>
      <c r="C22" s="131">
        <f>SUM(C23:C27)</f>
        <v>36393.58508754208</v>
      </c>
      <c r="D22" s="131">
        <f>SUM(D23:D27)</f>
        <v>49140.200000000004</v>
      </c>
      <c r="E22" s="131">
        <f>SUM(E23:E27)</f>
        <v>53653.7</v>
      </c>
      <c r="F22" s="131">
        <f>SUM(F23:F27)</f>
        <v>58368.5</v>
      </c>
    </row>
    <row r="23" spans="2:7" ht="12.75">
      <c r="B23" s="18" t="s">
        <v>112</v>
      </c>
      <c r="C23" s="132">
        <f>Energy07!H49</f>
        <v>21646.108</v>
      </c>
      <c r="D23" s="131">
        <f>29003.3+369.4</f>
        <v>29372.7</v>
      </c>
      <c r="E23" s="131">
        <f>29342.3+369.4</f>
        <v>29711.7</v>
      </c>
      <c r="F23" s="131">
        <f>26916.4+366.5</f>
        <v>27282.9</v>
      </c>
      <c r="G23" t="s">
        <v>209</v>
      </c>
    </row>
    <row r="24" spans="2:7" ht="12.75">
      <c r="B24" s="18" t="s">
        <v>113</v>
      </c>
      <c r="C24" s="132">
        <f>Energy07!H50</f>
        <v>11041.532</v>
      </c>
      <c r="D24" s="131">
        <v>9683.6</v>
      </c>
      <c r="E24" s="131">
        <v>9683.6</v>
      </c>
      <c r="F24" s="131">
        <v>9683</v>
      </c>
      <c r="G24" t="s">
        <v>209</v>
      </c>
    </row>
    <row r="25" spans="2:7" ht="12.75">
      <c r="B25" s="18" t="s">
        <v>200</v>
      </c>
      <c r="C25" s="132">
        <f>Energy07!H51</f>
        <v>1145.787</v>
      </c>
      <c r="D25" s="131">
        <f>3154.6+79.2+15.7+22.5</f>
        <v>3271.9999999999995</v>
      </c>
      <c r="E25" s="131">
        <f>2954.9+59.9+12.6+14.6</f>
        <v>3042</v>
      </c>
      <c r="F25" s="131">
        <f>2061.4+42.3+9.9+8.6</f>
        <v>2122.2000000000003</v>
      </c>
      <c r="G25" t="s">
        <v>209</v>
      </c>
    </row>
    <row r="26" spans="2:7" ht="12.75">
      <c r="B26" s="18" t="s">
        <v>201</v>
      </c>
      <c r="C26" s="132">
        <f>Energy07!H52</f>
        <v>2372.7145818876816</v>
      </c>
      <c r="D26" s="131">
        <f>577.2+1675.4</f>
        <v>2252.6000000000004</v>
      </c>
      <c r="E26" s="131">
        <f>577.2+1675.4</f>
        <v>2252.6000000000004</v>
      </c>
      <c r="F26" s="131">
        <f>577.2+1675.4</f>
        <v>2252.6000000000004</v>
      </c>
      <c r="G26" t="s">
        <v>209</v>
      </c>
    </row>
    <row r="27" spans="2:7" ht="12.75">
      <c r="B27" s="18" t="s">
        <v>202</v>
      </c>
      <c r="C27" s="132">
        <f>Energy07!H53</f>
        <v>187.44350565440615</v>
      </c>
      <c r="D27" s="131">
        <v>4559.3</v>
      </c>
      <c r="E27" s="131">
        <v>8963.8</v>
      </c>
      <c r="F27" s="131">
        <v>17027.8</v>
      </c>
      <c r="G27" t="s">
        <v>209</v>
      </c>
    </row>
    <row r="28" spans="2:6" ht="12.75">
      <c r="B28" s="18" t="s">
        <v>204</v>
      </c>
      <c r="C28" s="133">
        <f>C22-C21</f>
        <v>5888.185519507522</v>
      </c>
      <c r="D28" s="133">
        <f>D22-D21</f>
        <v>9735.200000000004</v>
      </c>
      <c r="E28" s="133">
        <f>E22-E21</f>
        <v>14248.699999999997</v>
      </c>
      <c r="F28" s="131">
        <f>F22-F21</f>
        <v>18963.5</v>
      </c>
    </row>
    <row r="29" spans="2:6" ht="25.5">
      <c r="B29" s="18" t="s">
        <v>220</v>
      </c>
      <c r="D29" s="1">
        <v>32.68</v>
      </c>
      <c r="E29" s="1">
        <v>32.94</v>
      </c>
      <c r="F29" s="1">
        <v>30</v>
      </c>
    </row>
    <row r="30" spans="2:8" ht="38.25">
      <c r="B30" s="48" t="s">
        <v>222</v>
      </c>
      <c r="D30" s="141">
        <f>$G30-D29</f>
        <v>-0.38000000000000256</v>
      </c>
      <c r="E30" s="141">
        <f>$G30-E29</f>
        <v>-0.6400000000000006</v>
      </c>
      <c r="F30" s="141">
        <f>$G30-F29</f>
        <v>2.299999999999997</v>
      </c>
      <c r="G30" s="140">
        <f>Composite!G34</f>
        <v>32.3</v>
      </c>
      <c r="H30" t="str">
        <f>Composite!H34</f>
        <v>Reference Emissions for Existing Wind</v>
      </c>
    </row>
  </sheetData>
  <sheetProtection/>
  <mergeCells count="6">
    <mergeCell ref="G7:H7"/>
    <mergeCell ref="G10:H10"/>
    <mergeCell ref="G9:H9"/>
    <mergeCell ref="G8:H8"/>
    <mergeCell ref="G11:H11"/>
    <mergeCell ref="G12:H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0"/>
  <sheetViews>
    <sheetView zoomScale="75" zoomScaleNormal="75" zoomScalePageLayoutView="0" workbookViewId="0" topLeftCell="A1">
      <selection activeCell="F30" sqref="F30"/>
    </sheetView>
  </sheetViews>
  <sheetFormatPr defaultColWidth="9.140625" defaultRowHeight="12.75"/>
  <cols>
    <col min="1" max="1" width="2.421875" style="0" customWidth="1"/>
    <col min="2" max="2" width="29.421875" style="0" customWidth="1"/>
    <col min="3" max="3" width="14.8515625" style="1" customWidth="1"/>
    <col min="4" max="4" width="16.8515625" style="1" customWidth="1"/>
    <col min="5" max="5" width="17.8515625" style="1" customWidth="1"/>
    <col min="6" max="6" width="18.00390625" style="1" customWidth="1"/>
    <col min="7" max="7" width="9.140625" style="0" customWidth="1"/>
    <col min="8" max="8" width="28.57421875" style="0" customWidth="1"/>
  </cols>
  <sheetData>
    <row r="3" spans="3:7" ht="12.75">
      <c r="C3" s="1" t="s">
        <v>1</v>
      </c>
      <c r="D3" s="1" t="s">
        <v>0</v>
      </c>
      <c r="E3" s="1" t="s">
        <v>206</v>
      </c>
      <c r="F3" s="1" t="s">
        <v>207</v>
      </c>
      <c r="G3" s="4" t="s">
        <v>34</v>
      </c>
    </row>
    <row r="4" spans="3:6" ht="12.75">
      <c r="C4" s="1" t="s">
        <v>5</v>
      </c>
      <c r="D4" s="1" t="s">
        <v>2</v>
      </c>
      <c r="E4" s="1" t="s">
        <v>3</v>
      </c>
      <c r="F4" s="1" t="s">
        <v>4</v>
      </c>
    </row>
    <row r="7" spans="2:8" ht="12.75">
      <c r="B7" s="7" t="s">
        <v>6</v>
      </c>
      <c r="C7" s="8"/>
      <c r="D7" s="9">
        <v>1249</v>
      </c>
      <c r="E7" s="9">
        <v>2488</v>
      </c>
      <c r="F7" s="9">
        <v>4727</v>
      </c>
      <c r="G7" s="242" t="s">
        <v>13</v>
      </c>
      <c r="H7" s="238"/>
    </row>
    <row r="8" spans="2:8" ht="14.25" customHeight="1">
      <c r="B8" s="7" t="s">
        <v>8</v>
      </c>
      <c r="C8" s="8"/>
      <c r="D8" s="9">
        <v>250</v>
      </c>
      <c r="E8" s="9">
        <v>311</v>
      </c>
      <c r="F8" s="9">
        <v>430</v>
      </c>
      <c r="G8" s="243" t="s">
        <v>13</v>
      </c>
      <c r="H8" s="238"/>
    </row>
    <row r="9" spans="2:8" ht="25.5">
      <c r="B9" s="7" t="s">
        <v>9</v>
      </c>
      <c r="C9" s="8"/>
      <c r="D9" s="8" t="s">
        <v>27</v>
      </c>
      <c r="E9" s="8" t="s">
        <v>27</v>
      </c>
      <c r="F9" s="8" t="s">
        <v>27</v>
      </c>
      <c r="G9" s="242"/>
      <c r="H9" s="238"/>
    </row>
    <row r="10" spans="2:8" ht="25.5">
      <c r="B10" s="7" t="s">
        <v>10</v>
      </c>
      <c r="C10" s="8"/>
      <c r="D10" s="11" t="s">
        <v>27</v>
      </c>
      <c r="E10" s="11" t="s">
        <v>27</v>
      </c>
      <c r="F10" s="11" t="s">
        <v>27</v>
      </c>
      <c r="G10" s="242"/>
      <c r="H10" s="238"/>
    </row>
    <row r="11" spans="2:8" ht="15.75" customHeight="1">
      <c r="B11" s="7" t="s">
        <v>17</v>
      </c>
      <c r="C11" s="8"/>
      <c r="D11" s="12">
        <f>D12/D7/8.76</f>
        <v>0.4328577016864633</v>
      </c>
      <c r="E11" s="12">
        <f>E12/E7/8.76</f>
        <v>0.42372336989237835</v>
      </c>
      <c r="F11" s="12">
        <f>F12/F7/8.76</f>
        <v>0.4273516657924505</v>
      </c>
      <c r="G11" s="242" t="s">
        <v>29</v>
      </c>
      <c r="H11" s="238"/>
    </row>
    <row r="12" spans="2:8" ht="12.75">
      <c r="B12" s="7" t="s">
        <v>7</v>
      </c>
      <c r="C12" s="8"/>
      <c r="D12" s="9">
        <v>4736</v>
      </c>
      <c r="E12" s="9">
        <v>9235</v>
      </c>
      <c r="F12" s="9">
        <v>17696</v>
      </c>
      <c r="G12" s="242" t="s">
        <v>16</v>
      </c>
      <c r="H12" s="238"/>
    </row>
    <row r="13" spans="2:8" ht="27.75" customHeight="1">
      <c r="B13" s="7" t="str">
        <f>"Number of Wind Turbines (at "&amp;TEXT(G13,"0.0")&amp;" MW each)"</f>
        <v>Number of Wind Turbines (at 3.0 MW each)</v>
      </c>
      <c r="C13" s="8"/>
      <c r="D13" s="9">
        <f>ROUNDUP(D7/$G13,0)</f>
        <v>417</v>
      </c>
      <c r="E13" s="9">
        <f>ROUNDUP(E7/$G13,0)</f>
        <v>830</v>
      </c>
      <c r="F13" s="9">
        <f>ROUNDUP(F7/$G13,0)</f>
        <v>1576</v>
      </c>
      <c r="G13" s="14">
        <f>Composite!G11</f>
        <v>3</v>
      </c>
      <c r="H13" s="48" t="s">
        <v>32</v>
      </c>
    </row>
    <row r="14" spans="2:8" ht="39" customHeight="1">
      <c r="B14" s="7" t="str">
        <f>"Land Use Under Lease in Acres (at "&amp;TEXT($G14,"0")&amp;" acres per MW each)"</f>
        <v>Land Use Under Lease in Acres (at 100 acres per MW each)</v>
      </c>
      <c r="C14" s="8"/>
      <c r="D14" s="9">
        <f>D7*$G14</f>
        <v>124900</v>
      </c>
      <c r="E14" s="9">
        <f>E7*$G14</f>
        <v>248800</v>
      </c>
      <c r="F14" s="9">
        <f>F7*$G14</f>
        <v>472700</v>
      </c>
      <c r="G14" s="14">
        <f>Composite!G12</f>
        <v>100</v>
      </c>
      <c r="H14" s="7" t="s">
        <v>31</v>
      </c>
    </row>
    <row r="15" spans="2:8" ht="39.75" customHeight="1">
      <c r="B15" s="7" t="str">
        <f>"Land Use Disturbed in Acres (at "&amp;TEXT($G15,"0.00")&amp;" acres per MW)"</f>
        <v>Land Use Disturbed in Acres (at 5.33 acres per MW)</v>
      </c>
      <c r="C15" s="8"/>
      <c r="D15" s="9">
        <f>D7*$G15</f>
        <v>6657.17</v>
      </c>
      <c r="E15" s="9">
        <f>E7*$G15</f>
        <v>13261.04</v>
      </c>
      <c r="F15" s="9">
        <f>F7*$G15</f>
        <v>25194.91</v>
      </c>
      <c r="G15" s="14">
        <f>Composite!G13</f>
        <v>5.33</v>
      </c>
      <c r="H15" s="7" t="s">
        <v>30</v>
      </c>
    </row>
    <row r="16" spans="2:8" ht="38.25" customHeight="1">
      <c r="B16" s="7" t="str">
        <f>"Annual Purchase Cost of Wind Generation in Millions of 2009$ (at "&amp;TEXT(G16:G16,"$0")&amp;"/MWh)"</f>
        <v>Annual Purchase Cost of Wind Generation in Millions of 2009$ (at $50/MWh)</v>
      </c>
      <c r="C16" s="8"/>
      <c r="D16" s="15">
        <f>D12*$G16/1000</f>
        <v>236.8</v>
      </c>
      <c r="E16" s="15">
        <f>E12*$G16/1000</f>
        <v>461.75</v>
      </c>
      <c r="F16" s="15">
        <f>F12*$G16/1000</f>
        <v>884.8</v>
      </c>
      <c r="G16" s="17">
        <f>Composite!G14</f>
        <v>50</v>
      </c>
      <c r="H16" s="7" t="s">
        <v>33</v>
      </c>
    </row>
    <row r="17" spans="2:8" ht="38.25">
      <c r="B17" s="18" t="s">
        <v>109</v>
      </c>
      <c r="D17" s="46">
        <f>D7*$G17/1000</f>
        <v>2622.9</v>
      </c>
      <c r="E17" s="46">
        <f>E7*$G17/1000</f>
        <v>5224.8</v>
      </c>
      <c r="F17" s="46">
        <f>F7*$G17/1000</f>
        <v>9926.7</v>
      </c>
      <c r="G17">
        <v>2100</v>
      </c>
      <c r="H17" s="47" t="s">
        <v>108</v>
      </c>
    </row>
    <row r="18" spans="2:8" ht="12.75">
      <c r="B18" s="5" t="s">
        <v>105</v>
      </c>
      <c r="D18" s="46">
        <f>Overlay!F30</f>
        <v>178.63055555555556</v>
      </c>
      <c r="E18" s="46">
        <f>Overlay!G30</f>
        <v>1051.5166666666667</v>
      </c>
      <c r="F18" s="46">
        <f>Overlay!H30</f>
        <v>1299.4953703703704</v>
      </c>
      <c r="H18" s="47"/>
    </row>
    <row r="19" spans="2:6" ht="25.5">
      <c r="B19" s="18" t="s">
        <v>106</v>
      </c>
      <c r="D19" s="15">
        <f>Overlay!F31</f>
        <v>15.403172000000001</v>
      </c>
      <c r="E19" s="15">
        <f>Overlay!G31</f>
        <v>174.4717424</v>
      </c>
      <c r="F19" s="15">
        <f>Overlay!H31</f>
        <v>194.76090906666667</v>
      </c>
    </row>
    <row r="20" spans="2:6" ht="25.5">
      <c r="B20" s="18" t="s">
        <v>107</v>
      </c>
      <c r="D20" s="15">
        <f>Overlay!F32</f>
        <v>192.53965</v>
      </c>
      <c r="E20" s="15">
        <f>Overlay!G32</f>
        <v>2180.8967800000005</v>
      </c>
      <c r="F20" s="15">
        <f>Overlay!H32</f>
        <v>2434.511363333334</v>
      </c>
    </row>
    <row r="21" spans="2:7" ht="12.75" customHeight="1">
      <c r="B21" s="18" t="s">
        <v>203</v>
      </c>
      <c r="C21" s="131">
        <f>28248/(1-7.4%)</f>
        <v>30505.399568034558</v>
      </c>
      <c r="D21" s="131">
        <v>39405</v>
      </c>
      <c r="E21" s="131">
        <v>39405</v>
      </c>
      <c r="F21" s="131">
        <v>39405</v>
      </c>
      <c r="G21" t="s">
        <v>205</v>
      </c>
    </row>
    <row r="22" spans="2:6" ht="12.75">
      <c r="B22" s="18" t="s">
        <v>114</v>
      </c>
      <c r="C22" s="131">
        <f>SUM(C23:C27)</f>
        <v>36393.58508754208</v>
      </c>
      <c r="D22" s="131">
        <f>SUM(D23:D27)</f>
        <v>49253.46799999999</v>
      </c>
      <c r="E22" s="131">
        <f>SUM(E23:E27)</f>
        <v>53906.40000000001</v>
      </c>
      <c r="F22" s="131">
        <f>SUM(F23:F27)</f>
        <v>58806.5</v>
      </c>
    </row>
    <row r="23" spans="2:7" ht="12.75">
      <c r="B23" s="18" t="s">
        <v>112</v>
      </c>
      <c r="C23" s="132">
        <f>Energy07!H49</f>
        <v>21646.108</v>
      </c>
      <c r="D23" s="131">
        <f>28913.6+369.3</f>
        <v>29282.899999999998</v>
      </c>
      <c r="E23" s="131">
        <f>29283.7+369.4</f>
        <v>29653.100000000002</v>
      </c>
      <c r="F23" s="131">
        <f>26744.9+365.8</f>
        <v>27110.7</v>
      </c>
      <c r="G23" t="s">
        <v>208</v>
      </c>
    </row>
    <row r="24" spans="2:7" ht="12.75">
      <c r="B24" s="18" t="s">
        <v>113</v>
      </c>
      <c r="C24" s="132">
        <f>Energy07!H50</f>
        <v>11041.532</v>
      </c>
      <c r="D24" s="131">
        <v>9682.7</v>
      </c>
      <c r="E24" s="131">
        <v>9683.5</v>
      </c>
      <c r="F24" s="131">
        <v>9681.9</v>
      </c>
      <c r="G24" t="s">
        <v>208</v>
      </c>
    </row>
    <row r="25" spans="2:7" ht="12.75">
      <c r="B25" s="18" t="s">
        <v>200</v>
      </c>
      <c r="C25" s="132">
        <f>Energy07!H51</f>
        <v>1145.787</v>
      </c>
      <c r="D25" s="131">
        <f>3162.4+87.1+17+19.068</f>
        <v>3285.568</v>
      </c>
      <c r="E25" s="131">
        <f>2974.5+55.1+11.6+12.2</f>
        <v>3053.3999999999996</v>
      </c>
      <c r="F25" s="131">
        <f>1965.7+32.6+8.9+7.6</f>
        <v>2014.8</v>
      </c>
      <c r="G25" t="s">
        <v>208</v>
      </c>
    </row>
    <row r="26" spans="2:7" ht="12.75">
      <c r="B26" s="18" t="s">
        <v>201</v>
      </c>
      <c r="C26" s="132">
        <f>Energy07!H52</f>
        <v>2372.7145818876816</v>
      </c>
      <c r="D26" s="131">
        <f>577.2+1675.4</f>
        <v>2252.6000000000004</v>
      </c>
      <c r="E26" s="131">
        <f>577.2+1675.4</f>
        <v>2252.6000000000004</v>
      </c>
      <c r="F26" s="131">
        <f>577.2+1675.4</f>
        <v>2252.6000000000004</v>
      </c>
      <c r="G26" t="s">
        <v>208</v>
      </c>
    </row>
    <row r="27" spans="2:7" ht="12.75">
      <c r="B27" s="18" t="s">
        <v>202</v>
      </c>
      <c r="C27" s="132">
        <f>Energy07!H53</f>
        <v>187.44350565440615</v>
      </c>
      <c r="D27" s="131">
        <v>4749.7</v>
      </c>
      <c r="E27" s="131">
        <v>9263.8</v>
      </c>
      <c r="F27" s="131">
        <v>17746.5</v>
      </c>
      <c r="G27" t="s">
        <v>208</v>
      </c>
    </row>
    <row r="28" spans="2:6" ht="12.75">
      <c r="B28" s="18" t="s">
        <v>204</v>
      </c>
      <c r="C28" s="133">
        <f>C22-C21</f>
        <v>5888.185519507522</v>
      </c>
      <c r="D28" s="133">
        <f>D22-D21</f>
        <v>9848.467999999993</v>
      </c>
      <c r="E28" s="133">
        <f>E22-E21</f>
        <v>14501.400000000009</v>
      </c>
      <c r="F28" s="131">
        <f>F22-F21</f>
        <v>19401.5</v>
      </c>
    </row>
    <row r="29" spans="2:6" ht="25.5">
      <c r="B29" s="18" t="s">
        <v>220</v>
      </c>
      <c r="D29" s="1">
        <v>32.59</v>
      </c>
      <c r="E29" s="1">
        <v>32.88</v>
      </c>
      <c r="F29" s="1">
        <v>29.78</v>
      </c>
    </row>
    <row r="30" spans="2:8" ht="38.25">
      <c r="B30" s="48" t="s">
        <v>222</v>
      </c>
      <c r="D30" s="141">
        <f>$G30-D29</f>
        <v>-0.29000000000000625</v>
      </c>
      <c r="E30" s="141">
        <f>$G30-E29</f>
        <v>-0.5800000000000054</v>
      </c>
      <c r="F30" s="141">
        <f>$G30-F29</f>
        <v>2.519999999999996</v>
      </c>
      <c r="G30" s="140">
        <f>Composite!G34</f>
        <v>32.3</v>
      </c>
      <c r="H30" t="str">
        <f>Composite!H34</f>
        <v>Reference Emissions for Existing Wind</v>
      </c>
    </row>
  </sheetData>
  <sheetProtection/>
  <mergeCells count="6">
    <mergeCell ref="G7:H7"/>
    <mergeCell ref="G10:H10"/>
    <mergeCell ref="G9:H9"/>
    <mergeCell ref="G8:H8"/>
    <mergeCell ref="G11:H11"/>
    <mergeCell ref="G12:H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5.7109375" style="0" customWidth="1"/>
    <col min="4" max="4" width="5.8515625" style="0" customWidth="1"/>
    <col min="5" max="5" width="20.00390625" style="0" customWidth="1"/>
    <col min="6" max="6" width="10.28125" style="0" customWidth="1"/>
    <col min="7" max="7" width="11.140625" style="0" customWidth="1"/>
    <col min="9" max="9" width="6.00390625" style="0" customWidth="1"/>
    <col min="10" max="10" width="4.57421875" style="0" customWidth="1"/>
  </cols>
  <sheetData>
    <row r="1" ht="12.75">
      <c r="B1" s="19" t="s">
        <v>35</v>
      </c>
    </row>
    <row r="2" ht="18">
      <c r="B2" s="20" t="s">
        <v>36</v>
      </c>
    </row>
    <row r="3" spans="2:11" ht="12.75">
      <c r="B3" s="19" t="s">
        <v>37</v>
      </c>
      <c r="G3" s="21" t="s">
        <v>38</v>
      </c>
      <c r="K3" s="22"/>
    </row>
    <row r="4" spans="1:7" ht="12.75">
      <c r="A4" s="23" t="s">
        <v>39</v>
      </c>
      <c r="C4" s="24" t="s">
        <v>40</v>
      </c>
      <c r="E4" s="30" t="s">
        <v>81</v>
      </c>
      <c r="G4" s="25" t="s">
        <v>41</v>
      </c>
    </row>
    <row r="5" spans="1:8" ht="12.75">
      <c r="A5" t="s">
        <v>42</v>
      </c>
      <c r="B5" t="s">
        <v>43</v>
      </c>
      <c r="C5">
        <v>240</v>
      </c>
      <c r="E5" s="32">
        <f>0.54*C5</f>
        <v>129.60000000000002</v>
      </c>
      <c r="G5" s="19"/>
      <c r="H5" s="24" t="s">
        <v>40</v>
      </c>
    </row>
    <row r="6" spans="1:8" ht="12.75">
      <c r="A6" t="s">
        <v>42</v>
      </c>
      <c r="B6" t="s">
        <v>44</v>
      </c>
      <c r="C6">
        <v>140</v>
      </c>
      <c r="E6" s="30">
        <v>140</v>
      </c>
      <c r="F6" t="s">
        <v>45</v>
      </c>
      <c r="G6" t="s">
        <v>46</v>
      </c>
      <c r="H6">
        <v>150</v>
      </c>
    </row>
    <row r="7" spans="1:8" ht="12.75">
      <c r="A7" t="s">
        <v>47</v>
      </c>
      <c r="B7" t="s">
        <v>44</v>
      </c>
      <c r="C7">
        <v>270</v>
      </c>
      <c r="E7" s="30">
        <v>270</v>
      </c>
      <c r="F7" t="s">
        <v>46</v>
      </c>
      <c r="G7" t="s">
        <v>48</v>
      </c>
      <c r="H7">
        <v>140</v>
      </c>
    </row>
    <row r="8" spans="1:8" ht="12.75">
      <c r="A8" t="s">
        <v>49</v>
      </c>
      <c r="B8" t="s">
        <v>47</v>
      </c>
      <c r="C8">
        <v>160</v>
      </c>
      <c r="E8" s="30">
        <v>160</v>
      </c>
      <c r="F8" t="s">
        <v>48</v>
      </c>
      <c r="G8" t="s">
        <v>50</v>
      </c>
      <c r="H8">
        <v>210</v>
      </c>
    </row>
    <row r="9" spans="1:9" ht="12.75">
      <c r="A9" t="s">
        <v>49</v>
      </c>
      <c r="B9" t="s">
        <v>51</v>
      </c>
      <c r="C9" s="26">
        <v>100</v>
      </c>
      <c r="D9" s="26"/>
      <c r="E9" s="31">
        <v>40</v>
      </c>
      <c r="F9" t="s">
        <v>50</v>
      </c>
      <c r="G9" t="s">
        <v>52</v>
      </c>
      <c r="H9" s="26">
        <v>110</v>
      </c>
      <c r="I9" s="26"/>
    </row>
    <row r="10" spans="3:9" ht="12.75">
      <c r="C10" s="2" t="s">
        <v>53</v>
      </c>
      <c r="D10">
        <f>SUM(C5:C9)</f>
        <v>910</v>
      </c>
      <c r="E10" s="32">
        <f>SUM(E5:E9)</f>
        <v>739.6</v>
      </c>
      <c r="H10" s="2" t="s">
        <v>53</v>
      </c>
      <c r="I10">
        <f>SUM(H6:H9)</f>
        <v>610</v>
      </c>
    </row>
    <row r="11" spans="1:8" ht="12.75">
      <c r="A11" s="23" t="s">
        <v>54</v>
      </c>
      <c r="F11" s="33">
        <v>0.1</v>
      </c>
      <c r="G11" s="30" t="s">
        <v>82</v>
      </c>
      <c r="H11" s="30" t="s">
        <v>83</v>
      </c>
    </row>
    <row r="12" spans="1:11" ht="12.75">
      <c r="A12" t="s">
        <v>55</v>
      </c>
      <c r="B12" t="s">
        <v>56</v>
      </c>
      <c r="C12">
        <v>120</v>
      </c>
      <c r="E12" s="34" t="s">
        <v>86</v>
      </c>
      <c r="F12" s="29"/>
      <c r="G12" s="29"/>
      <c r="H12" s="29"/>
      <c r="I12" s="29"/>
      <c r="J12" s="29"/>
      <c r="K12" s="29"/>
    </row>
    <row r="13" spans="1:11" ht="12.75">
      <c r="A13" t="s">
        <v>55</v>
      </c>
      <c r="B13" t="s">
        <v>57</v>
      </c>
      <c r="C13">
        <v>120</v>
      </c>
      <c r="E13" s="29" t="s">
        <v>93</v>
      </c>
      <c r="F13" s="29">
        <v>0</v>
      </c>
      <c r="G13" s="29">
        <v>740</v>
      </c>
      <c r="H13" s="29">
        <v>740</v>
      </c>
      <c r="I13" s="29"/>
      <c r="J13" s="29"/>
      <c r="K13" s="29"/>
    </row>
    <row r="14" spans="1:11" ht="12.75">
      <c r="A14" t="s">
        <v>58</v>
      </c>
      <c r="B14" t="s">
        <v>57</v>
      </c>
      <c r="C14">
        <v>50</v>
      </c>
      <c r="E14" s="29" t="s">
        <v>85</v>
      </c>
      <c r="F14" s="35">
        <f>F15*$I14</f>
        <v>0</v>
      </c>
      <c r="G14" s="35">
        <f>G15*$I14</f>
        <v>132.31792000000002</v>
      </c>
      <c r="H14" s="35">
        <f>H15*$I14</f>
        <v>132.31792000000002</v>
      </c>
      <c r="I14" s="36">
        <v>0.08</v>
      </c>
      <c r="J14" s="29" t="s">
        <v>88</v>
      </c>
      <c r="K14" s="29"/>
    </row>
    <row r="15" spans="1:11" ht="12.75">
      <c r="A15" t="s">
        <v>59</v>
      </c>
      <c r="B15" t="s">
        <v>60</v>
      </c>
      <c r="C15">
        <v>110</v>
      </c>
      <c r="E15" s="29" t="s">
        <v>84</v>
      </c>
      <c r="F15" s="35">
        <f>F13*$I15</f>
        <v>0</v>
      </c>
      <c r="G15" s="35">
        <f>G13*$I15</f>
        <v>1653.9740000000002</v>
      </c>
      <c r="H15" s="35">
        <f>H13*$I15</f>
        <v>1653.9740000000002</v>
      </c>
      <c r="I15" s="29">
        <f>2.17*1.03</f>
        <v>2.2351</v>
      </c>
      <c r="J15" s="29"/>
      <c r="K15" s="29"/>
    </row>
    <row r="16" spans="1:11" ht="12.75">
      <c r="A16" t="s">
        <v>59</v>
      </c>
      <c r="B16" t="s">
        <v>61</v>
      </c>
      <c r="C16">
        <v>120</v>
      </c>
      <c r="E16" s="34" t="s">
        <v>87</v>
      </c>
      <c r="F16" s="29"/>
      <c r="G16" s="29"/>
      <c r="H16" s="29"/>
      <c r="I16" s="29"/>
      <c r="J16" s="29"/>
      <c r="K16" s="29"/>
    </row>
    <row r="17" spans="1:11" ht="12.75">
      <c r="A17" t="s">
        <v>60</v>
      </c>
      <c r="B17" t="s">
        <v>62</v>
      </c>
      <c r="C17">
        <v>150</v>
      </c>
      <c r="E17" s="29" t="s">
        <v>104</v>
      </c>
      <c r="F17" s="29"/>
      <c r="G17" s="29"/>
      <c r="H17" s="29"/>
      <c r="I17" s="29"/>
      <c r="J17" s="29"/>
      <c r="K17" s="29"/>
    </row>
    <row r="18" spans="1:11" ht="12.75">
      <c r="A18" t="s">
        <v>62</v>
      </c>
      <c r="B18" t="s">
        <v>63</v>
      </c>
      <c r="C18">
        <v>90</v>
      </c>
      <c r="E18" s="29" t="s">
        <v>103</v>
      </c>
      <c r="F18" s="37">
        <f>(1-$I22)*F20/$I18</f>
        <v>138.63055555555556</v>
      </c>
      <c r="G18" s="37">
        <f>(1-$I22)*G20/$I18</f>
        <v>271.5166666666667</v>
      </c>
      <c r="H18" s="37">
        <f>(1-$I22)*H20/$I18</f>
        <v>519.4953703703703</v>
      </c>
      <c r="I18" s="38">
        <v>0.9</v>
      </c>
      <c r="J18" s="29" t="s">
        <v>95</v>
      </c>
      <c r="K18" s="29"/>
    </row>
    <row r="19" spans="1:11" ht="12.75">
      <c r="A19" t="s">
        <v>58</v>
      </c>
      <c r="B19" t="s">
        <v>51</v>
      </c>
      <c r="C19">
        <v>70</v>
      </c>
      <c r="E19" s="29" t="s">
        <v>89</v>
      </c>
      <c r="F19" s="39">
        <f>$I19*Composite!D14</f>
        <v>11.342500000000001</v>
      </c>
      <c r="G19" s="39">
        <f>$I19*Composite!E14</f>
        <v>22.215000000000003</v>
      </c>
      <c r="H19" s="39">
        <f>$I19*Composite!F14</f>
        <v>42.50416666666667</v>
      </c>
      <c r="I19" s="36">
        <v>0.05</v>
      </c>
      <c r="J19" s="40" t="s">
        <v>91</v>
      </c>
      <c r="K19" s="29"/>
    </row>
    <row r="20" spans="1:11" ht="12.75">
      <c r="A20" t="s">
        <v>57</v>
      </c>
      <c r="B20" t="s">
        <v>64</v>
      </c>
      <c r="C20">
        <v>60</v>
      </c>
      <c r="E20" s="29" t="s">
        <v>90</v>
      </c>
      <c r="F20" s="39">
        <f>F19*$I20</f>
        <v>141.78125</v>
      </c>
      <c r="G20" s="39">
        <f>G19*$I20</f>
        <v>277.68750000000006</v>
      </c>
      <c r="H20" s="39">
        <f>H19*$I20</f>
        <v>531.3020833333334</v>
      </c>
      <c r="I20" s="41">
        <f>100%/8%</f>
        <v>12.5</v>
      </c>
      <c r="J20" s="29"/>
      <c r="K20" s="29"/>
    </row>
    <row r="21" spans="1:11" ht="12.75">
      <c r="A21" t="s">
        <v>64</v>
      </c>
      <c r="B21" t="s">
        <v>61</v>
      </c>
      <c r="C21">
        <v>210</v>
      </c>
      <c r="E21" s="29" t="s">
        <v>92</v>
      </c>
      <c r="F21" s="29"/>
      <c r="G21" s="29"/>
      <c r="H21" s="29"/>
      <c r="I21" s="29"/>
      <c r="J21" s="29"/>
      <c r="K21" s="29"/>
    </row>
    <row r="22" spans="1:11" ht="12.75">
      <c r="A22" t="s">
        <v>65</v>
      </c>
      <c r="B22" t="s">
        <v>43</v>
      </c>
      <c r="C22">
        <v>80</v>
      </c>
      <c r="E22" s="29" t="s">
        <v>89</v>
      </c>
      <c r="F22" s="35">
        <f aca="true" t="shared" si="0" ref="F22:H23">$I22*F14</f>
        <v>0</v>
      </c>
      <c r="G22" s="35">
        <f t="shared" si="0"/>
        <v>15.8781504</v>
      </c>
      <c r="H22" s="35">
        <f t="shared" si="0"/>
        <v>15.8781504</v>
      </c>
      <c r="I22" s="36">
        <v>0.12</v>
      </c>
      <c r="J22" s="29" t="s">
        <v>94</v>
      </c>
      <c r="K22" s="29"/>
    </row>
    <row r="23" spans="1:11" ht="12.75">
      <c r="A23" t="s">
        <v>65</v>
      </c>
      <c r="B23" t="s">
        <v>56</v>
      </c>
      <c r="C23">
        <v>50</v>
      </c>
      <c r="E23" s="29" t="s">
        <v>90</v>
      </c>
      <c r="F23" s="35">
        <f t="shared" si="0"/>
        <v>0</v>
      </c>
      <c r="G23" s="35">
        <f t="shared" si="0"/>
        <v>198.47688000000002</v>
      </c>
      <c r="H23" s="35">
        <f t="shared" si="0"/>
        <v>198.47688000000002</v>
      </c>
      <c r="I23" s="36">
        <v>0.12</v>
      </c>
      <c r="J23" s="29" t="s">
        <v>94</v>
      </c>
      <c r="K23" s="29"/>
    </row>
    <row r="24" spans="1:11" ht="12.75">
      <c r="A24" t="s">
        <v>65</v>
      </c>
      <c r="B24" t="s">
        <v>66</v>
      </c>
      <c r="C24">
        <v>80</v>
      </c>
      <c r="E24" s="29" t="s">
        <v>96</v>
      </c>
      <c r="F24" s="29"/>
      <c r="G24" s="29"/>
      <c r="H24" s="29"/>
      <c r="I24" s="29"/>
      <c r="J24" s="29"/>
      <c r="K24" s="29"/>
    </row>
    <row r="25" spans="1:11" ht="12.75">
      <c r="A25" t="s">
        <v>67</v>
      </c>
      <c r="B25" t="s">
        <v>66</v>
      </c>
      <c r="C25">
        <v>100</v>
      </c>
      <c r="E25" s="29" t="s">
        <v>97</v>
      </c>
      <c r="F25" s="29">
        <v>40</v>
      </c>
      <c r="G25" s="29">
        <v>40</v>
      </c>
      <c r="H25" s="29">
        <v>40</v>
      </c>
      <c r="I25" s="29"/>
      <c r="J25" s="29"/>
      <c r="K25" s="29"/>
    </row>
    <row r="26" spans="1:11" ht="12.75">
      <c r="A26" t="s">
        <v>67</v>
      </c>
      <c r="B26" t="s">
        <v>63</v>
      </c>
      <c r="C26">
        <v>130</v>
      </c>
      <c r="E26" s="29" t="s">
        <v>89</v>
      </c>
      <c r="F26" s="42">
        <f>$I26*F27</f>
        <v>3.625600000000001</v>
      </c>
      <c r="G26" s="42">
        <f>$I26*G27</f>
        <v>3.625600000000001</v>
      </c>
      <c r="H26" s="42">
        <f>$I26*H27</f>
        <v>3.625600000000001</v>
      </c>
      <c r="I26" s="36">
        <v>0.08</v>
      </c>
      <c r="J26" s="29"/>
      <c r="K26" s="29"/>
    </row>
    <row r="27" spans="1:11" ht="12.75">
      <c r="A27" t="s">
        <v>68</v>
      </c>
      <c r="B27" t="s">
        <v>62</v>
      </c>
      <c r="C27">
        <v>180</v>
      </c>
      <c r="E27" s="29" t="s">
        <v>90</v>
      </c>
      <c r="F27" s="29">
        <f>$I27*F25</f>
        <v>45.32000000000001</v>
      </c>
      <c r="G27" s="29">
        <f>$I27*G25</f>
        <v>45.32000000000001</v>
      </c>
      <c r="H27" s="29">
        <f>$I27*H25</f>
        <v>45.32000000000001</v>
      </c>
      <c r="I27" s="38">
        <f>1.1*1.03</f>
        <v>1.1330000000000002</v>
      </c>
      <c r="J27" s="29"/>
      <c r="K27" s="29"/>
    </row>
    <row r="28" spans="1:11" ht="12.75">
      <c r="A28" t="s">
        <v>63</v>
      </c>
      <c r="B28" t="s">
        <v>56</v>
      </c>
      <c r="C28">
        <v>70</v>
      </c>
      <c r="E28" s="29" t="s">
        <v>99</v>
      </c>
      <c r="F28" s="42">
        <f>$I28*F29</f>
        <v>0.43507200000000007</v>
      </c>
      <c r="G28" s="42">
        <f>$I28*G29</f>
        <v>0.43507200000000007</v>
      </c>
      <c r="H28" s="42">
        <f>$I28*H29</f>
        <v>0.43507200000000007</v>
      </c>
      <c r="I28" s="36">
        <v>0.08</v>
      </c>
      <c r="J28" s="29"/>
      <c r="K28" s="29"/>
    </row>
    <row r="29" spans="1:11" ht="12.75">
      <c r="A29" t="s">
        <v>69</v>
      </c>
      <c r="B29" t="s">
        <v>64</v>
      </c>
      <c r="C29">
        <v>150</v>
      </c>
      <c r="E29" s="29" t="s">
        <v>98</v>
      </c>
      <c r="F29" s="43">
        <f>$I29*F27</f>
        <v>5.438400000000001</v>
      </c>
      <c r="G29" s="43">
        <f>$I29*G27</f>
        <v>5.438400000000001</v>
      </c>
      <c r="H29" s="43">
        <f>$I29*H27</f>
        <v>5.438400000000001</v>
      </c>
      <c r="I29" s="44">
        <v>0.12</v>
      </c>
      <c r="J29" s="45"/>
      <c r="K29" s="45"/>
    </row>
    <row r="30" spans="1:12" ht="12.75">
      <c r="A30" t="s">
        <v>70</v>
      </c>
      <c r="B30" t="s">
        <v>61</v>
      </c>
      <c r="C30" s="26">
        <v>80</v>
      </c>
      <c r="D30" s="26"/>
      <c r="E30" s="29"/>
      <c r="F30" s="37">
        <f>SUM(F13,F18,F25)</f>
        <v>178.63055555555556</v>
      </c>
      <c r="G30" s="37">
        <f>SUM(G13,G18,G25)</f>
        <v>1051.5166666666667</v>
      </c>
      <c r="H30" s="37">
        <f>SUM(H13,H18,H25)</f>
        <v>1299.4953703703704</v>
      </c>
      <c r="I30" s="29" t="s">
        <v>100</v>
      </c>
      <c r="J30" s="29"/>
      <c r="K30" s="29"/>
      <c r="L30" s="26"/>
    </row>
    <row r="31" spans="3:9" ht="13.5" thickBot="1">
      <c r="C31" s="27"/>
      <c r="D31" s="27">
        <f>SUM(C12:C30)</f>
        <v>2020</v>
      </c>
      <c r="E31" t="s">
        <v>71</v>
      </c>
      <c r="F31" s="35">
        <f aca="true" t="shared" si="1" ref="F31:H32">SUM(F14,F19,F22,F26,F28)</f>
        <v>15.403172000000001</v>
      </c>
      <c r="G31" s="35">
        <f t="shared" si="1"/>
        <v>174.4717424</v>
      </c>
      <c r="H31" s="35">
        <f t="shared" si="1"/>
        <v>194.76090906666667</v>
      </c>
      <c r="I31" s="29" t="s">
        <v>101</v>
      </c>
    </row>
    <row r="32" spans="3:9" ht="13.5" thickTop="1">
      <c r="C32">
        <f>SUM(C5:C30)</f>
        <v>2930</v>
      </c>
      <c r="D32">
        <f>SUM(D31,D10)</f>
        <v>2930</v>
      </c>
      <c r="E32" t="s">
        <v>72</v>
      </c>
      <c r="F32" s="35">
        <f t="shared" si="1"/>
        <v>192.53965</v>
      </c>
      <c r="G32" s="35">
        <f t="shared" si="1"/>
        <v>2180.8967800000005</v>
      </c>
      <c r="H32" s="35">
        <f t="shared" si="1"/>
        <v>2434.511363333334</v>
      </c>
      <c r="I32" s="29" t="s">
        <v>102</v>
      </c>
    </row>
    <row r="34" ht="12.75">
      <c r="A34" t="s">
        <v>73</v>
      </c>
    </row>
    <row r="35" ht="12.75">
      <c r="A35" s="28" t="s">
        <v>74</v>
      </c>
    </row>
    <row r="36" spans="1:3" ht="12.75">
      <c r="A36" s="23" t="s">
        <v>39</v>
      </c>
      <c r="C36" t="s">
        <v>40</v>
      </c>
    </row>
    <row r="37" spans="1:3" ht="12.75">
      <c r="A37" t="s">
        <v>75</v>
      </c>
      <c r="C37" s="26">
        <v>0</v>
      </c>
    </row>
    <row r="38" spans="4:5" ht="12.75">
      <c r="D38">
        <f>SUM(C37:C37)</f>
        <v>0</v>
      </c>
      <c r="E38" t="s">
        <v>76</v>
      </c>
    </row>
    <row r="39" ht="12.75">
      <c r="A39" s="23" t="s">
        <v>54</v>
      </c>
    </row>
    <row r="40" spans="1:3" ht="12.75">
      <c r="A40" t="s">
        <v>77</v>
      </c>
      <c r="B40" t="s">
        <v>78</v>
      </c>
      <c r="C40">
        <v>100</v>
      </c>
    </row>
    <row r="41" spans="1:4" ht="12.75">
      <c r="A41" t="s">
        <v>79</v>
      </c>
      <c r="B41" t="s">
        <v>80</v>
      </c>
      <c r="C41" s="26">
        <v>130</v>
      </c>
      <c r="D41" s="26"/>
    </row>
    <row r="42" spans="3:5" ht="13.5" thickBot="1">
      <c r="C42" s="27"/>
      <c r="D42" s="27">
        <f>SUM(C40:C41)</f>
        <v>230</v>
      </c>
      <c r="E42" t="s">
        <v>71</v>
      </c>
    </row>
    <row r="43" spans="3:5" ht="13.5" thickTop="1">
      <c r="C43">
        <f>SUM(C37:C41)</f>
        <v>230</v>
      </c>
      <c r="D43">
        <f>SUM(D38,D42)</f>
        <v>230</v>
      </c>
      <c r="E43" t="s">
        <v>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  <headerFooter>
    <oddFooter>&amp;C&amp;F  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75" zoomScaleNormal="75" zoomScalePageLayoutView="0" workbookViewId="0" topLeftCell="A39">
      <selection activeCell="A1" sqref="A1:E1"/>
    </sheetView>
  </sheetViews>
  <sheetFormatPr defaultColWidth="9.140625" defaultRowHeight="12.75"/>
  <cols>
    <col min="1" max="1" width="6.28125" style="95" customWidth="1"/>
    <col min="2" max="2" width="6.7109375" style="96" customWidth="1"/>
    <col min="3" max="3" width="34.140625" style="74" customWidth="1"/>
    <col min="4" max="4" width="19.140625" style="108" customWidth="1"/>
    <col min="5" max="5" width="17.421875" style="124" customWidth="1"/>
    <col min="6" max="6" width="7.28125" style="51" customWidth="1"/>
    <col min="7" max="7" width="10.140625" style="51" customWidth="1"/>
    <col min="8" max="8" width="10.7109375" style="51" customWidth="1"/>
    <col min="9" max="9" width="10.28125" style="51" bestFit="1" customWidth="1"/>
    <col min="10" max="13" width="9.140625" style="51" customWidth="1"/>
    <col min="14" max="14" width="11.8515625" style="51" customWidth="1"/>
    <col min="15" max="20" width="9.140625" style="51" customWidth="1"/>
    <col min="21" max="21" width="14.28125" style="51" customWidth="1"/>
    <col min="22" max="22" width="3.7109375" style="51" customWidth="1"/>
    <col min="23" max="16384" width="9.140625" style="51" customWidth="1"/>
  </cols>
  <sheetData>
    <row r="1" spans="1:16" s="49" customFormat="1" ht="84" customHeight="1" thickBot="1">
      <c r="A1" s="244" t="s">
        <v>115</v>
      </c>
      <c r="B1" s="244"/>
      <c r="C1" s="244"/>
      <c r="D1" s="245"/>
      <c r="E1" s="245"/>
      <c r="N1" s="50" t="s">
        <v>116</v>
      </c>
      <c r="O1" s="51"/>
      <c r="P1" s="51"/>
    </row>
    <row r="2" spans="1:21" s="57" customFormat="1" ht="46.5" customHeight="1">
      <c r="A2" s="52" t="s">
        <v>117</v>
      </c>
      <c r="B2" s="52" t="s">
        <v>118</v>
      </c>
      <c r="C2" s="52" t="s">
        <v>119</v>
      </c>
      <c r="D2" s="52" t="s">
        <v>120</v>
      </c>
      <c r="E2" s="53" t="s">
        <v>121</v>
      </c>
      <c r="F2" s="54" t="s">
        <v>122</v>
      </c>
      <c r="G2" s="55" t="s">
        <v>123</v>
      </c>
      <c r="H2" s="56" t="s">
        <v>124</v>
      </c>
      <c r="I2" s="246" t="s">
        <v>125</v>
      </c>
      <c r="J2" s="247"/>
      <c r="N2" s="58" t="s">
        <v>126</v>
      </c>
      <c r="O2" s="51"/>
      <c r="P2" s="51"/>
      <c r="Q2" s="59" t="s">
        <v>127</v>
      </c>
      <c r="R2" s="59" t="s">
        <v>127</v>
      </c>
      <c r="U2" s="60" t="s">
        <v>127</v>
      </c>
    </row>
    <row r="3" spans="1:22" ht="12.75">
      <c r="A3" s="61">
        <v>2007</v>
      </c>
      <c r="B3" s="62" t="s">
        <v>128</v>
      </c>
      <c r="C3" s="63" t="s">
        <v>129</v>
      </c>
      <c r="D3" s="64" t="s">
        <v>110</v>
      </c>
      <c r="E3" s="65">
        <v>19629911</v>
      </c>
      <c r="F3" s="66">
        <f aca="true" t="shared" si="0" ref="F3:F10">E3/E$11</f>
        <v>0.6050640732777527</v>
      </c>
      <c r="G3" s="67">
        <f>F3</f>
        <v>0.6050640732777527</v>
      </c>
      <c r="H3" s="68">
        <f>E3/1000</f>
        <v>19629.911</v>
      </c>
      <c r="I3" s="69" t="s">
        <v>110</v>
      </c>
      <c r="J3" s="70"/>
      <c r="N3" s="58" t="s">
        <v>110</v>
      </c>
      <c r="O3" s="71">
        <f>I34+I35+I36</f>
        <v>0.5947781167459012</v>
      </c>
      <c r="P3" s="72">
        <f>ROUND(O3,3)</f>
        <v>0.595</v>
      </c>
      <c r="Q3" s="73">
        <f>ROUND(R3,3)</f>
        <v>0.486</v>
      </c>
      <c r="R3" s="66">
        <f>(U3+U14+U15)/$U$16</f>
        <v>0.48638790622062744</v>
      </c>
      <c r="S3" s="74" t="s">
        <v>130</v>
      </c>
      <c r="T3" s="75" t="s">
        <v>110</v>
      </c>
      <c r="U3" s="65">
        <v>2016455584</v>
      </c>
      <c r="V3" s="76" t="s">
        <v>131</v>
      </c>
    </row>
    <row r="4" spans="1:22" ht="12.75">
      <c r="A4" s="61">
        <v>2007</v>
      </c>
      <c r="B4" s="62" t="s">
        <v>128</v>
      </c>
      <c r="C4" s="63" t="s">
        <v>129</v>
      </c>
      <c r="D4" s="64" t="s">
        <v>132</v>
      </c>
      <c r="E4" s="65">
        <v>35767</v>
      </c>
      <c r="F4" s="66">
        <f t="shared" si="0"/>
        <v>0.001102466878679449</v>
      </c>
      <c r="G4" s="67">
        <f>SUM(F4:F5)</f>
        <v>0.035317253823957555</v>
      </c>
      <c r="H4" s="68">
        <f>SUM(E4:E5)/1000</f>
        <v>1145.787</v>
      </c>
      <c r="I4" s="69" t="s">
        <v>133</v>
      </c>
      <c r="J4" s="70"/>
      <c r="N4" s="58" t="s">
        <v>134</v>
      </c>
      <c r="O4" s="71">
        <f>I38*F4/SUM(F4:F5)</f>
        <v>0.000982783089766098</v>
      </c>
      <c r="P4" s="72">
        <f>ROUND(O4,3)</f>
        <v>0.001</v>
      </c>
      <c r="Q4" s="73">
        <f aca="true" t="shared" si="1" ref="Q4:Q9">ROUND(R4,3)</f>
        <v>0.016</v>
      </c>
      <c r="R4" s="66">
        <f>U4/$U$16</f>
        <v>0.015815014480066492</v>
      </c>
      <c r="S4" s="74">
        <v>2</v>
      </c>
      <c r="T4" s="75" t="s">
        <v>132</v>
      </c>
      <c r="U4" s="65">
        <v>65738978</v>
      </c>
      <c r="V4" s="76" t="s">
        <v>135</v>
      </c>
    </row>
    <row r="5" spans="1:22" ht="12.75">
      <c r="A5" s="61">
        <v>2007</v>
      </c>
      <c r="B5" s="62" t="s">
        <v>128</v>
      </c>
      <c r="C5" s="63" t="s">
        <v>129</v>
      </c>
      <c r="D5" s="64" t="s">
        <v>136</v>
      </c>
      <c r="E5" s="65">
        <v>1110020</v>
      </c>
      <c r="F5" s="66">
        <f t="shared" si="0"/>
        <v>0.0342147869452781</v>
      </c>
      <c r="G5" s="67">
        <f>F7</f>
        <v>0.34033951183714745</v>
      </c>
      <c r="H5" s="68">
        <f>E7/1000</f>
        <v>11041.532</v>
      </c>
      <c r="I5" s="69" t="s">
        <v>111</v>
      </c>
      <c r="J5" s="70"/>
      <c r="N5" s="58" t="s">
        <v>137</v>
      </c>
      <c r="O5" s="71">
        <f>I38*F5/SUM(F4:F5)</f>
        <v>0.030500430153553946</v>
      </c>
      <c r="P5" s="72">
        <f>ROUND(O5,3)-0.001</f>
        <v>0.03</v>
      </c>
      <c r="Q5" s="73">
        <f t="shared" si="1"/>
        <v>0.219</v>
      </c>
      <c r="R5" s="66">
        <f>(U5+U6)/$U$16</f>
        <v>0.21893168944093186</v>
      </c>
      <c r="S5" s="74" t="s">
        <v>138</v>
      </c>
      <c r="T5" s="75" t="s">
        <v>136</v>
      </c>
      <c r="U5" s="65">
        <v>896589791</v>
      </c>
      <c r="V5" s="76" t="s">
        <v>139</v>
      </c>
    </row>
    <row r="6" spans="1:22" ht="12.75">
      <c r="A6" s="61">
        <v>2007</v>
      </c>
      <c r="B6" s="62" t="s">
        <v>128</v>
      </c>
      <c r="C6" s="63" t="s">
        <v>129</v>
      </c>
      <c r="D6" s="64" t="s">
        <v>140</v>
      </c>
      <c r="E6" s="65">
        <v>0</v>
      </c>
      <c r="F6" s="66">
        <f t="shared" si="0"/>
        <v>0</v>
      </c>
      <c r="G6" s="67">
        <f>F8</f>
        <v>0.010709466888358053</v>
      </c>
      <c r="H6" s="68">
        <f>E8/1000</f>
        <v>347.444</v>
      </c>
      <c r="I6" s="69" t="s">
        <v>141</v>
      </c>
      <c r="J6" s="70"/>
      <c r="N6" s="58" t="s">
        <v>111</v>
      </c>
      <c r="O6" s="71">
        <f>I37</f>
        <v>0.30339225919733953</v>
      </c>
      <c r="P6" s="72">
        <f>ROUND(O6,3)</f>
        <v>0.303</v>
      </c>
      <c r="Q6" s="73">
        <f t="shared" si="1"/>
        <v>0.194</v>
      </c>
      <c r="R6" s="66">
        <f>U7/$U$16</f>
        <v>0.194003915694872</v>
      </c>
      <c r="S6" s="74">
        <v>5</v>
      </c>
      <c r="T6" s="75" t="s">
        <v>140</v>
      </c>
      <c r="U6" s="65">
        <v>13453354</v>
      </c>
      <c r="V6" s="76" t="s">
        <v>142</v>
      </c>
    </row>
    <row r="7" spans="1:22" ht="12.75">
      <c r="A7" s="61">
        <v>2007</v>
      </c>
      <c r="B7" s="62" t="s">
        <v>128</v>
      </c>
      <c r="C7" s="63" t="s">
        <v>129</v>
      </c>
      <c r="D7" s="64" t="s">
        <v>111</v>
      </c>
      <c r="E7" s="65">
        <v>11041532</v>
      </c>
      <c r="F7" s="66">
        <f t="shared" si="0"/>
        <v>0.34033951183714745</v>
      </c>
      <c r="G7" s="77">
        <f>F9+F10</f>
        <v>0.008569694172784272</v>
      </c>
      <c r="H7" s="78">
        <f>(E9+E10)/1000</f>
        <v>278.024</v>
      </c>
      <c r="I7" s="79" t="s">
        <v>143</v>
      </c>
      <c r="J7" s="80"/>
      <c r="N7" s="58" t="s">
        <v>144</v>
      </c>
      <c r="O7" s="71">
        <f>I39+I40</f>
        <v>0.06374040904241865</v>
      </c>
      <c r="P7" s="72">
        <f>ROUND(O7,3)</f>
        <v>0.064</v>
      </c>
      <c r="Q7" s="73">
        <f t="shared" si="1"/>
        <v>0.06</v>
      </c>
      <c r="R7" s="66">
        <f>U8/$U$16</f>
        <v>0.05954418431589979</v>
      </c>
      <c r="S7" s="74">
        <v>6</v>
      </c>
      <c r="T7" s="75" t="s">
        <v>111</v>
      </c>
      <c r="U7" s="65">
        <v>806424753</v>
      </c>
      <c r="V7" s="76" t="s">
        <v>145</v>
      </c>
    </row>
    <row r="8" spans="1:22" ht="13.5" thickBot="1">
      <c r="A8" s="61">
        <v>2007</v>
      </c>
      <c r="B8" s="62" t="s">
        <v>128</v>
      </c>
      <c r="C8" s="63" t="s">
        <v>129</v>
      </c>
      <c r="D8" s="64" t="s">
        <v>146</v>
      </c>
      <c r="E8" s="65">
        <v>347444</v>
      </c>
      <c r="F8" s="66">
        <f t="shared" si="0"/>
        <v>0.010709466888358053</v>
      </c>
      <c r="G8" s="81">
        <f>SUM(G3:G7)</f>
        <v>1</v>
      </c>
      <c r="H8" s="82">
        <f>SUM(H3:H7)</f>
        <v>32442.698</v>
      </c>
      <c r="I8" s="83" t="s">
        <v>147</v>
      </c>
      <c r="J8" s="84"/>
      <c r="N8" s="58" t="s">
        <v>148</v>
      </c>
      <c r="O8" s="71">
        <f>I41*F9/(F9+F10)</f>
        <v>0.005150454543115897</v>
      </c>
      <c r="P8" s="72">
        <f>ROUND(O8,3)</f>
        <v>0.005</v>
      </c>
      <c r="Q8" s="73">
        <f t="shared" si="1"/>
        <v>0.008</v>
      </c>
      <c r="R8" s="66">
        <f>U9/$U$16</f>
        <v>0.008287717742466786</v>
      </c>
      <c r="S8" s="74">
        <v>7</v>
      </c>
      <c r="T8" s="75" t="s">
        <v>146</v>
      </c>
      <c r="U8" s="65">
        <v>247509974</v>
      </c>
      <c r="V8" s="76" t="s">
        <v>149</v>
      </c>
    </row>
    <row r="9" spans="1:22" ht="13.5" thickBot="1">
      <c r="A9" s="61">
        <v>2007</v>
      </c>
      <c r="B9" s="62" t="s">
        <v>128</v>
      </c>
      <c r="C9" s="63" t="s">
        <v>129</v>
      </c>
      <c r="D9" s="64" t="s">
        <v>150</v>
      </c>
      <c r="E9" s="65">
        <v>216765</v>
      </c>
      <c r="F9" s="66">
        <f t="shared" si="0"/>
        <v>0.006681472669134977</v>
      </c>
      <c r="G9" s="85"/>
      <c r="H9" s="68"/>
      <c r="I9" s="69"/>
      <c r="J9" s="69"/>
      <c r="N9" s="86" t="s">
        <v>151</v>
      </c>
      <c r="O9" s="87">
        <f>I41*F10/(F9+F10)</f>
        <v>0.0014555472279045823</v>
      </c>
      <c r="P9" s="88">
        <f>ROUND(O9,3)+0.001</f>
        <v>0.002</v>
      </c>
      <c r="Q9" s="89">
        <f t="shared" si="1"/>
        <v>0.017</v>
      </c>
      <c r="R9" s="90">
        <f>(U10+U11+U12+U13)/$U$16</f>
        <v>0.017029572105135605</v>
      </c>
      <c r="S9" s="91" t="s">
        <v>152</v>
      </c>
      <c r="T9" s="75" t="s">
        <v>150</v>
      </c>
      <c r="U9" s="65">
        <v>34449927</v>
      </c>
      <c r="V9" s="76" t="s">
        <v>153</v>
      </c>
    </row>
    <row r="10" spans="1:22" ht="13.5" thickTop="1">
      <c r="A10" s="61">
        <v>2007</v>
      </c>
      <c r="B10" s="62" t="s">
        <v>128</v>
      </c>
      <c r="C10" s="63" t="s">
        <v>129</v>
      </c>
      <c r="D10" s="64" t="s">
        <v>154</v>
      </c>
      <c r="E10" s="65">
        <v>61259</v>
      </c>
      <c r="F10" s="66">
        <f t="shared" si="0"/>
        <v>0.0018882215036492957</v>
      </c>
      <c r="G10" s="92" t="s">
        <v>155</v>
      </c>
      <c r="N10" s="58" t="s">
        <v>147</v>
      </c>
      <c r="O10" s="71">
        <f>SUM(O3:O9)</f>
        <v>0.9999999999999998</v>
      </c>
      <c r="P10" s="72">
        <f>SUM(P3:P9)</f>
        <v>1</v>
      </c>
      <c r="Q10" s="73">
        <f>SUM(Q3:Q9)</f>
        <v>1</v>
      </c>
      <c r="R10" s="71">
        <f>SUM(R3:R9)</f>
        <v>1</v>
      </c>
      <c r="T10" s="75" t="s">
        <v>156</v>
      </c>
      <c r="U10" s="65">
        <v>611793</v>
      </c>
      <c r="V10" s="76" t="s">
        <v>157</v>
      </c>
    </row>
    <row r="11" spans="1:22" ht="12.75">
      <c r="A11" s="61">
        <v>2007</v>
      </c>
      <c r="B11" s="62" t="s">
        <v>128</v>
      </c>
      <c r="C11" s="63" t="s">
        <v>129</v>
      </c>
      <c r="D11" s="64" t="s">
        <v>158</v>
      </c>
      <c r="E11" s="93">
        <f>SUM(E3:E10)</f>
        <v>32442698</v>
      </c>
      <c r="T11" s="75" t="s">
        <v>159</v>
      </c>
      <c r="U11" s="65">
        <v>39014024</v>
      </c>
      <c r="V11" s="76" t="s">
        <v>160</v>
      </c>
    </row>
    <row r="12" spans="1:22" ht="12.75">
      <c r="A12" s="61">
        <v>2007</v>
      </c>
      <c r="B12" s="62" t="s">
        <v>128</v>
      </c>
      <c r="C12" s="63" t="s">
        <v>161</v>
      </c>
      <c r="D12" s="64" t="s">
        <v>110</v>
      </c>
      <c r="E12" s="94">
        <v>19611849</v>
      </c>
      <c r="T12" s="75" t="s">
        <v>162</v>
      </c>
      <c r="U12" s="65">
        <v>14637213</v>
      </c>
      <c r="V12" s="76" t="s">
        <v>163</v>
      </c>
    </row>
    <row r="13" spans="1:22" ht="12.75">
      <c r="A13" s="61">
        <v>2007</v>
      </c>
      <c r="B13" s="62" t="s">
        <v>128</v>
      </c>
      <c r="C13" s="63" t="s">
        <v>161</v>
      </c>
      <c r="D13" s="64" t="s">
        <v>132</v>
      </c>
      <c r="E13" s="94">
        <v>35552</v>
      </c>
      <c r="T13" s="75" t="s">
        <v>154</v>
      </c>
      <c r="U13" s="65">
        <v>16524554</v>
      </c>
      <c r="V13" s="76" t="s">
        <v>164</v>
      </c>
    </row>
    <row r="14" spans="1:22" ht="12.75">
      <c r="A14" s="61">
        <v>2007</v>
      </c>
      <c r="B14" s="62" t="s">
        <v>128</v>
      </c>
      <c r="C14" s="63" t="s">
        <v>161</v>
      </c>
      <c r="D14" s="64" t="s">
        <v>136</v>
      </c>
      <c r="E14" s="94">
        <v>1103962</v>
      </c>
      <c r="T14" s="75" t="s">
        <v>165</v>
      </c>
      <c r="U14" s="65">
        <v>-6896352</v>
      </c>
      <c r="V14" s="76" t="s">
        <v>166</v>
      </c>
    </row>
    <row r="15" spans="1:22" ht="12.75">
      <c r="A15" s="61">
        <v>2007</v>
      </c>
      <c r="B15" s="62" t="s">
        <v>128</v>
      </c>
      <c r="C15" s="63" t="s">
        <v>161</v>
      </c>
      <c r="D15" s="64" t="s">
        <v>140</v>
      </c>
      <c r="E15" s="94">
        <v>0</v>
      </c>
      <c r="T15" s="75" t="s">
        <v>167</v>
      </c>
      <c r="U15" s="65">
        <v>12231131</v>
      </c>
      <c r="V15" s="76" t="s">
        <v>168</v>
      </c>
    </row>
    <row r="16" spans="1:21" ht="12.75">
      <c r="A16" s="61">
        <v>2007</v>
      </c>
      <c r="B16" s="62" t="s">
        <v>128</v>
      </c>
      <c r="C16" s="63" t="s">
        <v>161</v>
      </c>
      <c r="D16" s="64" t="s">
        <v>111</v>
      </c>
      <c r="E16" s="94">
        <v>11041532</v>
      </c>
      <c r="T16" s="75" t="s">
        <v>158</v>
      </c>
      <c r="U16" s="65">
        <v>4156744724</v>
      </c>
    </row>
    <row r="17" spans="1:5" ht="12.75">
      <c r="A17" s="61">
        <v>2007</v>
      </c>
      <c r="B17" s="62" t="s">
        <v>128</v>
      </c>
      <c r="C17" s="63" t="s">
        <v>161</v>
      </c>
      <c r="D17" s="64" t="s">
        <v>146</v>
      </c>
      <c r="E17" s="94">
        <v>347444</v>
      </c>
    </row>
    <row r="18" spans="1:5" ht="12.75">
      <c r="A18" s="61">
        <v>2007</v>
      </c>
      <c r="B18" s="62" t="s">
        <v>128</v>
      </c>
      <c r="C18" s="63" t="s">
        <v>161</v>
      </c>
      <c r="D18" s="64" t="s">
        <v>150</v>
      </c>
      <c r="E18" s="94">
        <v>216765</v>
      </c>
    </row>
    <row r="19" spans="1:5" ht="12.75">
      <c r="A19" s="61">
        <v>2007</v>
      </c>
      <c r="B19" s="62" t="s">
        <v>128</v>
      </c>
      <c r="C19" s="63" t="s">
        <v>161</v>
      </c>
      <c r="D19" s="64" t="s">
        <v>154</v>
      </c>
      <c r="E19" s="94">
        <v>46184</v>
      </c>
    </row>
    <row r="20" spans="1:5" ht="12.75">
      <c r="A20" s="61">
        <v>2007</v>
      </c>
      <c r="B20" s="62" t="s">
        <v>128</v>
      </c>
      <c r="C20" s="63" t="s">
        <v>161</v>
      </c>
      <c r="D20" s="64" t="s">
        <v>158</v>
      </c>
      <c r="E20" s="94">
        <v>32403289</v>
      </c>
    </row>
    <row r="21" spans="1:5" ht="12.75">
      <c r="A21" s="61">
        <v>2007</v>
      </c>
      <c r="B21" s="62" t="s">
        <v>128</v>
      </c>
      <c r="C21" s="63" t="s">
        <v>169</v>
      </c>
      <c r="D21" s="64" t="s">
        <v>136</v>
      </c>
      <c r="E21" s="94">
        <v>1684</v>
      </c>
    </row>
    <row r="22" spans="1:5" ht="12.75">
      <c r="A22" s="61">
        <v>2007</v>
      </c>
      <c r="B22" s="62" t="s">
        <v>128</v>
      </c>
      <c r="C22" s="63" t="s">
        <v>169</v>
      </c>
      <c r="D22" s="64" t="s">
        <v>154</v>
      </c>
      <c r="E22" s="94">
        <v>2837</v>
      </c>
    </row>
    <row r="23" spans="1:5" ht="12.75">
      <c r="A23" s="61">
        <v>2007</v>
      </c>
      <c r="B23" s="62" t="s">
        <v>128</v>
      </c>
      <c r="C23" s="63" t="s">
        <v>169</v>
      </c>
      <c r="D23" s="64" t="s">
        <v>158</v>
      </c>
      <c r="E23" s="94">
        <v>4521</v>
      </c>
    </row>
    <row r="24" spans="1:5" ht="12.75">
      <c r="A24" s="61">
        <v>2007</v>
      </c>
      <c r="B24" s="62" t="s">
        <v>128</v>
      </c>
      <c r="C24" s="63" t="s">
        <v>170</v>
      </c>
      <c r="D24" s="64" t="s">
        <v>132</v>
      </c>
      <c r="E24" s="94">
        <v>215</v>
      </c>
    </row>
    <row r="25" spans="1:5" ht="12.75">
      <c r="A25" s="61">
        <v>2007</v>
      </c>
      <c r="B25" s="62" t="s">
        <v>128</v>
      </c>
      <c r="C25" s="63" t="s">
        <v>170</v>
      </c>
      <c r="D25" s="64" t="s">
        <v>136</v>
      </c>
      <c r="E25" s="94">
        <v>4374</v>
      </c>
    </row>
    <row r="26" spans="1:5" ht="12.75">
      <c r="A26" s="61">
        <v>2007</v>
      </c>
      <c r="B26" s="62" t="s">
        <v>128</v>
      </c>
      <c r="C26" s="63" t="s">
        <v>170</v>
      </c>
      <c r="D26" s="64" t="s">
        <v>154</v>
      </c>
      <c r="E26" s="94">
        <v>12238</v>
      </c>
    </row>
    <row r="27" spans="1:5" ht="12.75">
      <c r="A27" s="61">
        <v>2007</v>
      </c>
      <c r="B27" s="62" t="s">
        <v>128</v>
      </c>
      <c r="C27" s="63" t="s">
        <v>170</v>
      </c>
      <c r="D27" s="64" t="s">
        <v>158</v>
      </c>
      <c r="E27" s="94">
        <v>16827</v>
      </c>
    </row>
    <row r="28" spans="1:5" ht="12.75">
      <c r="A28" s="61">
        <v>2007</v>
      </c>
      <c r="B28" s="62" t="s">
        <v>128</v>
      </c>
      <c r="C28" s="63" t="s">
        <v>171</v>
      </c>
      <c r="D28" s="64" t="s">
        <v>110</v>
      </c>
      <c r="E28" s="94">
        <v>18062</v>
      </c>
    </row>
    <row r="29" spans="1:5" ht="12.75">
      <c r="A29" s="61">
        <v>2007</v>
      </c>
      <c r="B29" s="62" t="s">
        <v>128</v>
      </c>
      <c r="C29" s="63" t="s">
        <v>171</v>
      </c>
      <c r="D29" s="64" t="s">
        <v>158</v>
      </c>
      <c r="E29" s="94">
        <v>18062</v>
      </c>
    </row>
    <row r="31" spans="3:5" ht="13.5" thickBot="1">
      <c r="C31" s="248" t="str">
        <f>"(US DOE-EIA Data - 2007 and Nebraska Utility Data) - "&amp;TEXT(H42,"0,000")&amp;" GWh"</f>
        <v>(US DOE-EIA Data - 2007 and Nebraska Utility Data) - 36,394 GWh</v>
      </c>
      <c r="D31" s="249"/>
      <c r="E31" s="249"/>
    </row>
    <row r="32" spans="3:11" ht="12.75">
      <c r="C32" s="249"/>
      <c r="D32" s="249"/>
      <c r="E32" s="249"/>
      <c r="G32" s="97" t="s">
        <v>172</v>
      </c>
      <c r="H32" s="98"/>
      <c r="I32" s="98"/>
      <c r="J32" s="99"/>
      <c r="K32" s="100"/>
    </row>
    <row r="33" spans="7:11" ht="12.75">
      <c r="G33" s="101"/>
      <c r="H33" s="102" t="s">
        <v>173</v>
      </c>
      <c r="I33" s="102"/>
      <c r="J33" s="103" t="s">
        <v>174</v>
      </c>
      <c r="K33" s="70"/>
    </row>
    <row r="34" spans="7:12" ht="12.75">
      <c r="G34" s="104" t="s">
        <v>110</v>
      </c>
      <c r="H34" s="105">
        <f>H3</f>
        <v>19629.911</v>
      </c>
      <c r="I34" s="106">
        <f>H34/$H$42</f>
        <v>0.5393783259544696</v>
      </c>
      <c r="J34" s="107" t="s">
        <v>175</v>
      </c>
      <c r="K34" s="70"/>
      <c r="L34" s="125" t="s">
        <v>189</v>
      </c>
    </row>
    <row r="35" spans="6:12" ht="25.5">
      <c r="F35" s="108" t="s">
        <v>176</v>
      </c>
      <c r="G35" s="109" t="s">
        <v>177</v>
      </c>
      <c r="H35" s="110">
        <f>'[1]Energy Inputs'!C16/1000</f>
        <v>1247.711</v>
      </c>
      <c r="I35" s="106">
        <f aca="true" t="shared" si="2" ref="I35:I41">H35/$H$42</f>
        <v>0.034283816694582935</v>
      </c>
      <c r="J35" s="69" t="s">
        <v>178</v>
      </c>
      <c r="K35" s="70"/>
      <c r="L35" s="125" t="s">
        <v>189</v>
      </c>
    </row>
    <row r="36" spans="6:12" ht="25.5">
      <c r="F36" s="108" t="s">
        <v>176</v>
      </c>
      <c r="G36" s="109" t="s">
        <v>179</v>
      </c>
      <c r="H36" s="110">
        <f>'[1]Energy Inputs'!D16/1000</f>
        <v>768.486</v>
      </c>
      <c r="I36" s="106">
        <f t="shared" si="2"/>
        <v>0.021115974096848757</v>
      </c>
      <c r="J36" s="107" t="s">
        <v>180</v>
      </c>
      <c r="K36" s="70"/>
      <c r="L36" s="125" t="s">
        <v>189</v>
      </c>
    </row>
    <row r="37" spans="7:12" ht="12.75">
      <c r="G37" s="104" t="s">
        <v>111</v>
      </c>
      <c r="H37" s="111">
        <f>H5</f>
        <v>11041.532</v>
      </c>
      <c r="I37" s="106">
        <f t="shared" si="2"/>
        <v>0.30339225919733953</v>
      </c>
      <c r="J37" s="107" t="s">
        <v>175</v>
      </c>
      <c r="K37" s="70"/>
      <c r="L37" s="125" t="s">
        <v>190</v>
      </c>
    </row>
    <row r="38" spans="7:12" ht="12.75">
      <c r="G38" s="104" t="s">
        <v>133</v>
      </c>
      <c r="H38" s="105">
        <f>H4</f>
        <v>1145.787</v>
      </c>
      <c r="I38" s="106">
        <f t="shared" si="2"/>
        <v>0.03148321324332005</v>
      </c>
      <c r="J38" s="107" t="s">
        <v>175</v>
      </c>
      <c r="K38" s="70"/>
      <c r="L38" s="125" t="s">
        <v>191</v>
      </c>
    </row>
    <row r="39" spans="7:12" ht="12.75">
      <c r="G39" s="104" t="s">
        <v>181</v>
      </c>
      <c r="H39" s="110">
        <f>H6</f>
        <v>347.444</v>
      </c>
      <c r="I39" s="106">
        <f t="shared" si="2"/>
        <v>0.009546847312905532</v>
      </c>
      <c r="J39" s="107" t="s">
        <v>175</v>
      </c>
      <c r="K39" s="70"/>
      <c r="L39" s="125" t="s">
        <v>192</v>
      </c>
    </row>
    <row r="40" spans="6:12" ht="25.5">
      <c r="F40" s="108" t="s">
        <v>176</v>
      </c>
      <c r="G40" s="109" t="s">
        <v>182</v>
      </c>
      <c r="H40" s="110">
        <f>'[1]Energy Inputs'!B16/1000</f>
        <v>1972.298</v>
      </c>
      <c r="I40" s="106">
        <f t="shared" si="2"/>
        <v>0.05419356172951311</v>
      </c>
      <c r="J40" s="69" t="s">
        <v>183</v>
      </c>
      <c r="K40" s="70"/>
      <c r="L40" s="125" t="s">
        <v>192</v>
      </c>
    </row>
    <row r="41" spans="7:12" ht="12.75">
      <c r="G41" s="112" t="s">
        <v>143</v>
      </c>
      <c r="H41" s="113">
        <f>H7-'[1]NPPD'!E32/1000</f>
        <v>240.41608754208755</v>
      </c>
      <c r="I41" s="114">
        <f t="shared" si="2"/>
        <v>0.0066060017710204795</v>
      </c>
      <c r="J41" s="115" t="str">
        <f>"DOE less "&amp;TEXT('[1]NPPD'!E32/1000,"0")&amp;" JEA est"</f>
        <v>DOE less 38 JEA est</v>
      </c>
      <c r="K41" s="70"/>
      <c r="L41" s="125"/>
    </row>
    <row r="42" spans="7:11" ht="12.75">
      <c r="G42" s="116" t="s">
        <v>147</v>
      </c>
      <c r="H42" s="105">
        <f>SUM(H34:H41)</f>
        <v>36393.58508754209</v>
      </c>
      <c r="I42" s="117">
        <f>SUM(I34:I41)</f>
        <v>0.9999999999999998</v>
      </c>
      <c r="J42" s="69"/>
      <c r="K42" s="70"/>
    </row>
    <row r="43" spans="7:11" ht="12.75">
      <c r="G43" s="118"/>
      <c r="H43" s="69"/>
      <c r="I43" s="69"/>
      <c r="J43" s="69"/>
      <c r="K43" s="70"/>
    </row>
    <row r="44" spans="7:11" ht="12.75">
      <c r="G44" s="119" t="s">
        <v>184</v>
      </c>
      <c r="H44" s="69"/>
      <c r="I44" s="110">
        <v>28248</v>
      </c>
      <c r="J44" s="69" t="s">
        <v>185</v>
      </c>
      <c r="K44" s="70"/>
    </row>
    <row r="45" spans="7:11" ht="13.5" thickBot="1">
      <c r="G45" s="120" t="s">
        <v>186</v>
      </c>
      <c r="H45" s="83"/>
      <c r="I45" s="121">
        <f>H41/I44</f>
        <v>0.008510906525845637</v>
      </c>
      <c r="J45" s="122" t="s">
        <v>187</v>
      </c>
      <c r="K45" s="84"/>
    </row>
    <row r="46" spans="7:10" ht="12.75">
      <c r="G46" s="123" t="s">
        <v>186</v>
      </c>
      <c r="H46" s="58"/>
      <c r="I46" s="72">
        <f>SUM(H39:H41)/I44</f>
        <v>0.09063148143380373</v>
      </c>
      <c r="J46" s="58" t="s">
        <v>188</v>
      </c>
    </row>
    <row r="47" spans="8:12" ht="12.75">
      <c r="H47" s="126">
        <f>H41*F9/(F9+F10)</f>
        <v>187.44350565440615</v>
      </c>
      <c r="I47" s="125"/>
      <c r="J47" s="125"/>
      <c r="K47" s="125"/>
      <c r="L47" s="125" t="s">
        <v>193</v>
      </c>
    </row>
    <row r="48" spans="7:13" ht="12.75">
      <c r="G48" s="79"/>
      <c r="H48" s="127">
        <f>H41*F10/(F9+F10)</f>
        <v>52.972581887681436</v>
      </c>
      <c r="I48" s="128"/>
      <c r="J48" s="128"/>
      <c r="K48" s="128"/>
      <c r="L48" s="128" t="s">
        <v>194</v>
      </c>
      <c r="M48" s="79"/>
    </row>
    <row r="49" spans="8:12" ht="12.75">
      <c r="H49" s="129">
        <f>SUM(H34,H35,H36)</f>
        <v>21646.108</v>
      </c>
      <c r="L49" s="51" t="s">
        <v>195</v>
      </c>
    </row>
    <row r="50" spans="8:12" ht="12.75">
      <c r="H50" s="129">
        <f>H37</f>
        <v>11041.532</v>
      </c>
      <c r="L50" s="51" t="s">
        <v>196</v>
      </c>
    </row>
    <row r="51" spans="8:12" ht="12.75">
      <c r="H51" s="129">
        <f>H38</f>
        <v>1145.787</v>
      </c>
      <c r="L51" s="51" t="s">
        <v>197</v>
      </c>
    </row>
    <row r="52" spans="8:12" ht="12.75">
      <c r="H52" s="129">
        <f>SUM(H39,H40,H48)</f>
        <v>2372.7145818876816</v>
      </c>
      <c r="L52" s="51" t="s">
        <v>198</v>
      </c>
    </row>
    <row r="53" spans="8:12" ht="12.75">
      <c r="H53" s="130">
        <f>H47</f>
        <v>187.44350565440615</v>
      </c>
      <c r="I53" s="79"/>
      <c r="J53" s="79"/>
      <c r="K53" s="79"/>
      <c r="L53" s="79" t="s">
        <v>199</v>
      </c>
    </row>
    <row r="54" spans="8:12" ht="12.75">
      <c r="H54" s="129">
        <f>SUM(H49:H53)</f>
        <v>36393.58508754208</v>
      </c>
      <c r="L54" s="51" t="s">
        <v>147</v>
      </c>
    </row>
  </sheetData>
  <sheetProtection/>
  <mergeCells count="3">
    <mergeCell ref="A1:E1"/>
    <mergeCell ref="I2:J2"/>
    <mergeCell ref="C31:E32"/>
  </mergeCells>
  <printOptions/>
  <pageMargins left="0.54" right="0.41" top="0.82" bottom="0.81" header="0.5" footer="0.5"/>
  <pageSetup fitToHeight="1" fitToWidth="1" horizontalDpi="600" verticalDpi="600" orientation="landscape" scale="53" r:id="rId2"/>
  <headerFooter alignWithMargins="0">
    <oddHeader>&amp;C&amp;"MS Sans Serif,Bold"&amp;13Net Generation by State, Type of Producer and Energy Source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workbookViewId="0" topLeftCell="A5">
      <selection activeCell="G10" sqref="G10"/>
    </sheetView>
  </sheetViews>
  <sheetFormatPr defaultColWidth="9.140625" defaultRowHeight="12.75"/>
  <cols>
    <col min="1" max="1" width="12.00390625" style="0" customWidth="1"/>
    <col min="2" max="2" width="11.00390625" style="0" customWidth="1"/>
    <col min="3" max="3" width="13.00390625" style="0" customWidth="1"/>
    <col min="4" max="4" width="12.00390625" style="0" customWidth="1"/>
    <col min="5" max="5" width="11.28125" style="0" customWidth="1"/>
    <col min="6" max="6" width="9.421875" style="156" bestFit="1" customWidth="1"/>
    <col min="7" max="7" width="9.421875" style="0" bestFit="1" customWidth="1"/>
    <col min="8" max="8" width="14.421875" style="0" customWidth="1"/>
    <col min="9" max="9" width="4.140625" style="0" customWidth="1"/>
    <col min="10" max="10" width="7.28125" style="0" customWidth="1"/>
    <col min="13" max="13" width="2.7109375" style="0" customWidth="1"/>
    <col min="14" max="14" width="11.140625" style="0" customWidth="1"/>
  </cols>
  <sheetData>
    <row r="1" ht="12.75">
      <c r="B1" s="19" t="s">
        <v>35</v>
      </c>
    </row>
    <row r="2" ht="18">
      <c r="B2" s="20" t="s">
        <v>260</v>
      </c>
    </row>
    <row r="3" spans="1:7" ht="12.75">
      <c r="A3" s="157" t="s">
        <v>261</v>
      </c>
      <c r="C3" s="65" t="s">
        <v>262</v>
      </c>
      <c r="D3" s="157"/>
      <c r="E3" s="157"/>
      <c r="F3" s="157"/>
      <c r="G3" s="157"/>
    </row>
    <row r="4" spans="2:10" ht="38.25">
      <c r="B4" t="s">
        <v>263</v>
      </c>
      <c r="C4" s="138" t="s">
        <v>264</v>
      </c>
      <c r="D4" s="138" t="s">
        <v>265</v>
      </c>
      <c r="E4" s="138" t="s">
        <v>266</v>
      </c>
      <c r="F4" s="158" t="s">
        <v>267</v>
      </c>
      <c r="H4" s="65" t="s">
        <v>268</v>
      </c>
      <c r="J4" s="138" t="s">
        <v>269</v>
      </c>
    </row>
    <row r="5" spans="2:5" ht="13.5" thickBot="1">
      <c r="B5" s="23" t="s">
        <v>270</v>
      </c>
      <c r="E5" s="38" t="s">
        <v>340</v>
      </c>
    </row>
    <row r="6" spans="2:13" ht="13.5" thickBot="1">
      <c r="B6" t="s">
        <v>128</v>
      </c>
      <c r="C6" s="159">
        <v>28248400</v>
      </c>
      <c r="D6" s="159">
        <v>1775337</v>
      </c>
      <c r="E6" s="41">
        <f>100*D6/C6</f>
        <v>6.284734710638479</v>
      </c>
      <c r="F6" s="156">
        <v>1</v>
      </c>
      <c r="H6" s="157">
        <v>26975944</v>
      </c>
      <c r="J6" s="160">
        <f>C6/H6</f>
        <v>1.0471700267467934</v>
      </c>
      <c r="K6" s="161">
        <f>J6</f>
        <v>1.0471700267467934</v>
      </c>
      <c r="L6" s="162" t="s">
        <v>271</v>
      </c>
      <c r="M6" s="163"/>
    </row>
    <row r="7" spans="1:10" ht="13.5" thickBot="1">
      <c r="A7" s="38" t="s">
        <v>337</v>
      </c>
      <c r="B7" s="23" t="s">
        <v>272</v>
      </c>
      <c r="J7" s="160"/>
    </row>
    <row r="8" spans="1:13" ht="12.75">
      <c r="A8" s="38" t="s">
        <v>336</v>
      </c>
      <c r="B8" t="s">
        <v>273</v>
      </c>
      <c r="C8" s="157">
        <v>47054891</v>
      </c>
      <c r="D8" s="157">
        <v>3273009</v>
      </c>
      <c r="E8" s="140">
        <f>100*D8/C8</f>
        <v>6.955725388886779</v>
      </c>
      <c r="H8" s="157">
        <v>46164923</v>
      </c>
      <c r="J8" s="160">
        <f aca="true" t="shared" si="0" ref="J8:J14">C8/H8</f>
        <v>1.0192780133089359</v>
      </c>
      <c r="K8" s="164">
        <f>J8*D20/$C$19</f>
        <v>0.043894908554412644</v>
      </c>
      <c r="L8" s="165"/>
      <c r="M8" s="166"/>
    </row>
    <row r="9" spans="1:13" ht="12.75">
      <c r="A9" s="38" t="s">
        <v>338</v>
      </c>
      <c r="B9" t="s">
        <v>274</v>
      </c>
      <c r="C9" s="167">
        <v>40165977</v>
      </c>
      <c r="D9" s="167">
        <v>2745668</v>
      </c>
      <c r="E9" s="140">
        <f aca="true" t="shared" si="1" ref="E9:E14">100*D9/C9</f>
        <v>6.835805338433571</v>
      </c>
      <c r="F9" s="156">
        <v>1</v>
      </c>
      <c r="H9" s="157">
        <v>39024283</v>
      </c>
      <c r="J9" s="160">
        <f t="shared" si="0"/>
        <v>1.029255989149115</v>
      </c>
      <c r="K9" s="168">
        <f aca="true" t="shared" si="2" ref="K9:K14">J9*D21/$C$19</f>
        <v>0.24683162766401487</v>
      </c>
      <c r="L9" s="169"/>
      <c r="M9" s="170"/>
    </row>
    <row r="10" spans="1:13" ht="12.75">
      <c r="A10" s="38" t="s">
        <v>339</v>
      </c>
      <c r="B10" t="s">
        <v>275</v>
      </c>
      <c r="C10" s="171">
        <v>79566937</v>
      </c>
      <c r="D10" s="171">
        <v>6678767</v>
      </c>
      <c r="E10" s="140">
        <f t="shared" si="1"/>
        <v>8.393897329490011</v>
      </c>
      <c r="H10" s="157">
        <v>77389170</v>
      </c>
      <c r="J10" s="160">
        <f t="shared" si="0"/>
        <v>1.0281404620310568</v>
      </c>
      <c r="K10" s="168">
        <f t="shared" si="2"/>
        <v>0.09298079134702081</v>
      </c>
      <c r="L10" s="169"/>
      <c r="M10" s="170"/>
    </row>
    <row r="11" spans="1:13" ht="12.75">
      <c r="A11" s="237">
        <f>SUMPRODUCT(D20:D26,E8:E14)/SUM(D20:D26)</f>
        <v>7.588949510405065</v>
      </c>
      <c r="B11" t="s">
        <v>276</v>
      </c>
      <c r="C11" s="172">
        <v>85532850</v>
      </c>
      <c r="D11" s="172">
        <v>5614317</v>
      </c>
      <c r="E11" s="140">
        <f t="shared" si="1"/>
        <v>6.563930700309881</v>
      </c>
      <c r="H11" s="157">
        <v>80940494</v>
      </c>
      <c r="J11" s="160">
        <f t="shared" si="0"/>
        <v>1.056737434787586</v>
      </c>
      <c r="K11" s="168">
        <f t="shared" si="2"/>
        <v>0.13652426264579867</v>
      </c>
      <c r="L11" s="169"/>
      <c r="M11" s="170"/>
    </row>
    <row r="12" spans="1:13" ht="12.75">
      <c r="A12" s="29"/>
      <c r="B12" t="s">
        <v>277</v>
      </c>
      <c r="C12" s="173">
        <v>22267394</v>
      </c>
      <c r="D12" s="173">
        <v>1655946</v>
      </c>
      <c r="E12" s="140">
        <f t="shared" si="1"/>
        <v>7.436640318126136</v>
      </c>
      <c r="H12" s="157">
        <v>20638951</v>
      </c>
      <c r="J12" s="160">
        <f t="shared" si="0"/>
        <v>1.078901442229307</v>
      </c>
      <c r="K12" s="168">
        <f t="shared" si="2"/>
        <v>0.023231287012724658</v>
      </c>
      <c r="L12" s="169"/>
      <c r="M12" s="170"/>
    </row>
    <row r="13" spans="1:13" ht="12.75">
      <c r="A13" s="29"/>
      <c r="B13" t="s">
        <v>278</v>
      </c>
      <c r="C13" s="174">
        <v>55193200</v>
      </c>
      <c r="D13" s="174">
        <v>4023049</v>
      </c>
      <c r="E13" s="140">
        <f t="shared" si="1"/>
        <v>7.289030170383308</v>
      </c>
      <c r="F13" s="156">
        <v>1</v>
      </c>
      <c r="H13" s="157">
        <v>53707102</v>
      </c>
      <c r="J13" s="160">
        <f t="shared" si="0"/>
        <v>1.0276704187092427</v>
      </c>
      <c r="K13" s="168">
        <f t="shared" si="2"/>
        <v>0.3386557852448429</v>
      </c>
      <c r="L13" s="169"/>
      <c r="M13" s="170"/>
    </row>
    <row r="14" spans="2:13" ht="12.75">
      <c r="B14" t="s">
        <v>279</v>
      </c>
      <c r="C14" s="175">
        <v>343828582</v>
      </c>
      <c r="D14" s="175">
        <v>34772753</v>
      </c>
      <c r="E14" s="140">
        <f t="shared" si="1"/>
        <v>10.113398018783673</v>
      </c>
      <c r="H14" s="157">
        <v>334258262</v>
      </c>
      <c r="J14" s="160">
        <f t="shared" si="0"/>
        <v>1.028631513676691</v>
      </c>
      <c r="K14" s="176">
        <f t="shared" si="2"/>
        <v>0.15061222863065613</v>
      </c>
      <c r="L14" s="169"/>
      <c r="M14" s="170"/>
    </row>
    <row r="15" spans="11:13" ht="13.5" thickBot="1">
      <c r="K15" s="177">
        <f>SUM(K8:K14)</f>
        <v>1.0327308910994708</v>
      </c>
      <c r="L15" s="178" t="s">
        <v>280</v>
      </c>
      <c r="M15" s="179"/>
    </row>
    <row r="16" spans="1:14" ht="12.75" customHeight="1">
      <c r="A16" t="s">
        <v>281</v>
      </c>
      <c r="E16" s="180" t="s">
        <v>282</v>
      </c>
      <c r="F16" s="181" t="s">
        <v>283</v>
      </c>
      <c r="G16" s="182"/>
      <c r="H16" s="183"/>
      <c r="J16" s="2" t="s">
        <v>284</v>
      </c>
      <c r="K16" t="s">
        <v>285</v>
      </c>
      <c r="L16" s="1" t="s">
        <v>286</v>
      </c>
      <c r="N16">
        <v>2005</v>
      </c>
    </row>
    <row r="17" spans="2:14" ht="12.75">
      <c r="B17" s="4" t="str">
        <f>B5</f>
        <v>SPP Area</v>
      </c>
      <c r="C17" s="2" t="s">
        <v>287</v>
      </c>
      <c r="D17" s="2" t="s">
        <v>287</v>
      </c>
      <c r="E17" s="184" t="s">
        <v>288</v>
      </c>
      <c r="F17" s="185" t="s">
        <v>289</v>
      </c>
      <c r="G17" s="185" t="s">
        <v>289</v>
      </c>
      <c r="H17" s="186"/>
      <c r="J17" s="2" t="s">
        <v>290</v>
      </c>
      <c r="K17" s="1" t="s">
        <v>291</v>
      </c>
      <c r="L17" t="s">
        <v>292</v>
      </c>
      <c r="N17" t="s">
        <v>293</v>
      </c>
    </row>
    <row r="18" spans="1:14" ht="15">
      <c r="A18" t="s">
        <v>294</v>
      </c>
      <c r="B18" s="2" t="str">
        <f>B6</f>
        <v>NE</v>
      </c>
      <c r="C18" s="187">
        <f>39402*92.5%</f>
        <v>36446.85</v>
      </c>
      <c r="D18" s="188">
        <f>C18</f>
        <v>36446.85</v>
      </c>
      <c r="E18" s="189">
        <f>1.025^11*E6</f>
        <v>8.246116561649249</v>
      </c>
      <c r="F18" s="190">
        <f>D18*E18/100</f>
        <v>3005.449734049459</v>
      </c>
      <c r="G18" s="191">
        <f>F18</f>
        <v>3005.449734049459</v>
      </c>
      <c r="H18" s="186" t="str">
        <f>B18</f>
        <v>NE</v>
      </c>
      <c r="I18" s="192"/>
      <c r="J18" t="str">
        <f>B18</f>
        <v>NE</v>
      </c>
      <c r="K18" s="193">
        <f>L18*2000000000/N18</f>
        <v>1605.9001412588368</v>
      </c>
      <c r="L18" s="194">
        <v>25.265169</v>
      </c>
      <c r="N18" s="195">
        <v>31465429.7</v>
      </c>
    </row>
    <row r="19" spans="2:9" ht="15">
      <c r="B19" t="str">
        <f aca="true" t="shared" si="3" ref="B19:B26">B7</f>
        <v>Rest of SPP</v>
      </c>
      <c r="C19" s="187">
        <f>225134*92.5%</f>
        <v>208248.95</v>
      </c>
      <c r="E19" s="189"/>
      <c r="F19" s="190"/>
      <c r="G19" s="191">
        <f>SUM(F20:F26)</f>
        <v>20736.096396830904</v>
      </c>
      <c r="H19" s="186" t="str">
        <f aca="true" t="shared" si="4" ref="H19:H26">B19</f>
        <v>Rest of SPP</v>
      </c>
      <c r="I19" s="192"/>
    </row>
    <row r="20" spans="1:13" ht="12.75">
      <c r="A20" t="s">
        <v>295</v>
      </c>
      <c r="B20" s="2" t="str">
        <f t="shared" si="3"/>
        <v>AR</v>
      </c>
      <c r="D20" s="196">
        <f>(C$19-D$21-D$25)*0.1</f>
        <v>8968.179924854181</v>
      </c>
      <c r="E20" s="189">
        <f aca="true" t="shared" si="5" ref="E20:E26">1.025^11*E8</f>
        <v>9.126514478087865</v>
      </c>
      <c r="F20" s="190">
        <f aca="true" t="shared" si="6" ref="F20:F26">D20*E20/100</f>
        <v>818.4822392627862</v>
      </c>
      <c r="G20" s="197"/>
      <c r="H20" s="186" t="str">
        <f t="shared" si="4"/>
        <v>AR</v>
      </c>
      <c r="I20" s="192"/>
      <c r="J20" t="str">
        <f aca="true" t="shared" si="7" ref="J20:J26">B20</f>
        <v>AR</v>
      </c>
      <c r="K20" s="198">
        <v>1229.23</v>
      </c>
      <c r="L20" s="140">
        <f>0.91*D20*K20/2000000</f>
        <v>5.01589989310797</v>
      </c>
      <c r="M20" t="s">
        <v>296</v>
      </c>
    </row>
    <row r="21" spans="1:14" ht="12.75">
      <c r="A21" t="s">
        <v>294</v>
      </c>
      <c r="B21" s="2" t="str">
        <f t="shared" si="3"/>
        <v>KS</v>
      </c>
      <c r="D21" s="196">
        <f>F9*C9*1.02^11/1000</f>
        <v>49941.3438733705</v>
      </c>
      <c r="E21" s="189">
        <f>1.025^11*E9</f>
        <v>8.969168979885355</v>
      </c>
      <c r="F21" s="190">
        <f t="shared" si="6"/>
        <v>4479.323522828222</v>
      </c>
      <c r="G21" s="197"/>
      <c r="H21" s="186" t="str">
        <f t="shared" si="4"/>
        <v>KS</v>
      </c>
      <c r="I21" s="192"/>
      <c r="J21" t="str">
        <f t="shared" si="7"/>
        <v>KS</v>
      </c>
      <c r="K21" s="198">
        <f>L21*2000000000/N21</f>
        <v>1894.920872902925</v>
      </c>
      <c r="L21" s="194">
        <v>43.453084</v>
      </c>
      <c r="N21" s="195">
        <v>45862689.7</v>
      </c>
    </row>
    <row r="22" spans="1:13" ht="12.75">
      <c r="A22" t="s">
        <v>297</v>
      </c>
      <c r="B22" s="2" t="str">
        <f t="shared" si="3"/>
        <v>LA</v>
      </c>
      <c r="D22" s="196">
        <f>(C$19-D$21-D$25)*0.21</f>
        <v>18833.177842193778</v>
      </c>
      <c r="E22" s="189">
        <f t="shared" si="5"/>
        <v>11.01352069297752</v>
      </c>
      <c r="F22" s="190">
        <f t="shared" si="6"/>
        <v>2074.195938795269</v>
      </c>
      <c r="G22" s="197"/>
      <c r="H22" s="186" t="str">
        <f t="shared" si="4"/>
        <v>LA</v>
      </c>
      <c r="I22" s="192"/>
      <c r="J22" t="str">
        <f t="shared" si="7"/>
        <v>LA</v>
      </c>
      <c r="K22" s="198">
        <v>1175.49</v>
      </c>
      <c r="L22" s="140">
        <f>0.91*D22*K22/2000000</f>
        <v>10.072886560882766</v>
      </c>
      <c r="M22" t="s">
        <v>296</v>
      </c>
    </row>
    <row r="23" spans="1:13" ht="12.75">
      <c r="A23" t="s">
        <v>298</v>
      </c>
      <c r="B23" s="2" t="str">
        <f t="shared" si="3"/>
        <v>MO</v>
      </c>
      <c r="D23" s="196">
        <f>(C$19-D$21-D$25)*0.3</f>
        <v>26904.53977456254</v>
      </c>
      <c r="E23" s="189">
        <f t="shared" si="5"/>
        <v>8.612445894608715</v>
      </c>
      <c r="F23" s="190">
        <f t="shared" si="6"/>
        <v>2317.1389312776805</v>
      </c>
      <c r="G23" s="197"/>
      <c r="H23" s="186" t="str">
        <f t="shared" si="4"/>
        <v>MO</v>
      </c>
      <c r="I23" s="192"/>
      <c r="J23" t="str">
        <f t="shared" si="7"/>
        <v>MO</v>
      </c>
      <c r="K23" s="198">
        <v>1594.67</v>
      </c>
      <c r="L23" s="140">
        <f>0.91*D23*K23/2000000</f>
        <v>19.52125741124725</v>
      </c>
      <c r="M23" t="s">
        <v>296</v>
      </c>
    </row>
    <row r="24" spans="1:13" ht="12.75">
      <c r="A24" t="s">
        <v>299</v>
      </c>
      <c r="B24" s="2" t="str">
        <f t="shared" si="3"/>
        <v>NM</v>
      </c>
      <c r="D24" s="196">
        <f>(C$19-D$21-D$25)*0.05</f>
        <v>4484.0899624270905</v>
      </c>
      <c r="E24" s="189">
        <f t="shared" si="5"/>
        <v>9.757516540280266</v>
      </c>
      <c r="F24" s="190">
        <f t="shared" si="6"/>
        <v>437.53581976487055</v>
      </c>
      <c r="G24" s="197"/>
      <c r="H24" s="186" t="str">
        <f t="shared" si="4"/>
        <v>NM</v>
      </c>
      <c r="I24" s="192"/>
      <c r="J24" t="str">
        <f t="shared" si="7"/>
        <v>NM</v>
      </c>
      <c r="K24" s="198">
        <v>1935.9</v>
      </c>
      <c r="L24" s="140">
        <f>0.91*D24*K24/2000000</f>
        <v>3.9497411400094853</v>
      </c>
      <c r="M24" t="s">
        <v>296</v>
      </c>
    </row>
    <row r="25" spans="1:14" ht="12.75">
      <c r="A25" t="s">
        <v>294</v>
      </c>
      <c r="B25" s="2" t="str">
        <f t="shared" si="3"/>
        <v>OK</v>
      </c>
      <c r="D25" s="196">
        <f>F13*C13*1.02^11/1000</f>
        <v>68625.80687808771</v>
      </c>
      <c r="E25" s="189">
        <f t="shared" si="5"/>
        <v>9.563839234870827</v>
      </c>
      <c r="F25" s="190">
        <f t="shared" si="6"/>
        <v>6563.261843453235</v>
      </c>
      <c r="G25" s="197"/>
      <c r="H25" s="186" t="str">
        <f t="shared" si="4"/>
        <v>OK</v>
      </c>
      <c r="I25" s="192"/>
      <c r="J25" t="str">
        <f t="shared" si="7"/>
        <v>OK</v>
      </c>
      <c r="K25" s="198">
        <f>L25*2000000000/N25</f>
        <v>1562.7609133488495</v>
      </c>
      <c r="L25" s="194">
        <v>54.918162</v>
      </c>
      <c r="N25" s="195">
        <v>70283511.1</v>
      </c>
    </row>
    <row r="26" spans="1:14" ht="13.5" thickBot="1">
      <c r="A26" s="26" t="s">
        <v>300</v>
      </c>
      <c r="B26" s="199" t="str">
        <f t="shared" si="3"/>
        <v>TX</v>
      </c>
      <c r="C26" s="26"/>
      <c r="D26" s="200">
        <f>(C$19-D$21-D$25)*0.34</f>
        <v>30491.811744504215</v>
      </c>
      <c r="E26" s="201">
        <f t="shared" si="5"/>
        <v>13.269654605479815</v>
      </c>
      <c r="F26" s="202">
        <f t="shared" si="6"/>
        <v>4046.158101448839</v>
      </c>
      <c r="G26" s="203"/>
      <c r="H26" s="204" t="str">
        <f t="shared" si="4"/>
        <v>TX</v>
      </c>
      <c r="I26" s="192"/>
      <c r="J26" s="178" t="str">
        <f t="shared" si="7"/>
        <v>TX</v>
      </c>
      <c r="K26" s="205">
        <v>1355.41</v>
      </c>
      <c r="L26" s="206">
        <f>0.91*D26*K26/2000000</f>
        <v>18.804652483261403</v>
      </c>
      <c r="M26" s="178"/>
      <c r="N26" s="178"/>
    </row>
    <row r="27" spans="2:14" ht="13.5" thickBot="1">
      <c r="B27" s="207" t="s">
        <v>301</v>
      </c>
      <c r="C27" s="188">
        <f>SUM(C18:C26)</f>
        <v>244695.80000000002</v>
      </c>
      <c r="D27" s="188">
        <f>SUM(D18:D26)</f>
        <v>244695.8</v>
      </c>
      <c r="E27" s="208">
        <f>100*F27/D27</f>
        <v>9.702473900606535</v>
      </c>
      <c r="F27" s="209">
        <f>SUM(F18:F26)</f>
        <v>23741.546130880364</v>
      </c>
      <c r="G27" s="209">
        <f>SUM(G18:G26)</f>
        <v>23741.546130880364</v>
      </c>
      <c r="H27" s="210" t="s">
        <v>302</v>
      </c>
      <c r="K27" s="211" t="s">
        <v>303</v>
      </c>
      <c r="L27" s="212">
        <f>SUM(L18:L26)</f>
        <v>181.00085248850885</v>
      </c>
      <c r="M27" s="213" t="s">
        <v>304</v>
      </c>
      <c r="N27" s="214"/>
    </row>
    <row r="28" spans="1:14" ht="12.75">
      <c r="A28" t="s">
        <v>305</v>
      </c>
      <c r="K28" s="215">
        <f>3%+(17%-3%)*6/8</f>
        <v>0.135</v>
      </c>
      <c r="L28" s="212">
        <f>L27*(1-K28)</f>
        <v>156.56573740256016</v>
      </c>
      <c r="M28" s="213" t="s">
        <v>306</v>
      </c>
      <c r="N28" s="214"/>
    </row>
    <row r="29" spans="5:12" ht="12.75">
      <c r="E29" s="216">
        <f>E27/1.025^11</f>
        <v>7.394689857501859</v>
      </c>
      <c r="F29" s="156" t="s">
        <v>307</v>
      </c>
      <c r="L29" s="1" t="s">
        <v>308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3"/>
  <headerFooter>
    <oddFooter>&amp;C&amp;F   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Public Power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R. Kallesen</dc:creator>
  <cp:keywords/>
  <dc:description/>
  <cp:lastModifiedBy>Douglas R. Kallesen</cp:lastModifiedBy>
  <cp:lastPrinted>2009-12-16T02:57:39Z</cp:lastPrinted>
  <dcterms:created xsi:type="dcterms:W3CDTF">2009-12-11T22:15:55Z</dcterms:created>
  <dcterms:modified xsi:type="dcterms:W3CDTF">2009-12-16T03:00:39Z</dcterms:modified>
  <cp:category/>
  <cp:version/>
  <cp:contentType/>
  <cp:contentStatus/>
</cp:coreProperties>
</file>